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2.xml" ContentType="application/vnd.openxmlformats-officedocument.drawing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7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579" documentId="13_ncr:1_{4AA165F9-F3FC-433E-8FA4-0977666CB4DD}" xr6:coauthVersionLast="47" xr6:coauthVersionMax="47" xr10:uidLastSave="{9CF3247A-35D8-453D-AB45-6747739DBE27}"/>
  <bookViews>
    <workbookView xWindow="1830" yWindow="-120" windowWidth="27090" windowHeight="16440" tabRatio="791" firstSheet="3" activeTab="3" xr2:uid="{C2EEDF8B-CFD1-44BD-8DA3-27C98B467CAB}"/>
  </bookViews>
  <sheets>
    <sheet name="Add New" sheetId="8" state="hidden" r:id="rId1"/>
    <sheet name="LevelDatabase" sheetId="10" state="hidden" r:id="rId2"/>
    <sheet name="ImgDatabase" sheetId="13" state="hidden" r:id="rId3"/>
    <sheet name="Inventory" sheetId="12" r:id="rId4"/>
    <sheet name="Summary" sheetId="15" r:id="rId5"/>
    <sheet name="World Boss" sheetId="3" r:id="rId6"/>
    <sheet name="Talent Books" sheetId="4" r:id="rId7"/>
    <sheet name="Weekly Boss" sheetId="5" r:id="rId8"/>
    <sheet name="Local Specialties" sheetId="7" r:id="rId9"/>
    <sheet name="Ascension Stones" sheetId="18" r:id="rId10"/>
    <sheet name="Monster Materials" sheetId="17" r:id="rId11"/>
  </sheets>
  <definedNames>
    <definedName name="_xlnm._FilterDatabase" localSheetId="0" hidden="1">'Add New'!#REF!</definedName>
    <definedName name="_xlnm._FilterDatabase" localSheetId="4" hidden="1">Summary!$A$1:$AE$99</definedName>
    <definedName name="_xlnm._FilterDatabase" localSheetId="6" hidden="1">'Talent Books'!$K$8:$K$73</definedName>
    <definedName name="_xlnm._FilterDatabase" localSheetId="5" hidden="1">'World Boss'!$A$2:$G$33</definedName>
    <definedName name="_xlnm.Extract" localSheetId="9">'Weekly Boss'!$D$3</definedName>
    <definedName name="_xlnm.Extract" localSheetId="8">'Weekly Boss'!$D$3</definedName>
    <definedName name="_xlnm.Extract" localSheetId="10">'Weekly Boss'!$D$3</definedName>
    <definedName name="_xlnm.Extract" localSheetId="4">'World Boss'!$C$3</definedName>
    <definedName name="_xlnm.Extract" localSheetId="6">'Talent Books'!#REF!</definedName>
    <definedName name="_xlnm.Extract" localSheetId="7">'Weekly Boss'!$D$3</definedName>
    <definedName name="HerosWits" localSheetId="9">CharacterDatabase[HerosWits]</definedName>
    <definedName name="HerosWits" localSheetId="10">CharacterDatabase[HerosWits]</definedName>
    <definedName name="HerosWits" localSheetId="4">CharacterDatabase[HerosWits]</definedName>
    <definedName name="HerosWits">CharacterDatabase[HerosWits]</definedName>
    <definedName name="Levels" localSheetId="9">CharacterDatabase[Levels]</definedName>
    <definedName name="Levels" localSheetId="10">CharacterDatabase[Levels]</definedName>
    <definedName name="Levels" localSheetId="4">CharacterDatabase[Levels]</definedName>
    <definedName name="Levels">CharacterDatabase[Levels]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7" l="1"/>
  <c r="L5" i="17"/>
  <c r="L6" i="17"/>
  <c r="L7" i="17"/>
  <c r="L8" i="17"/>
  <c r="L9" i="17"/>
  <c r="L10" i="17"/>
  <c r="L11" i="17"/>
  <c r="L12" i="17"/>
  <c r="L13" i="17"/>
  <c r="L14" i="17"/>
  <c r="L15" i="17"/>
  <c r="L16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BC3" i="13"/>
  <c r="BC4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C39" i="13"/>
  <c r="BC40" i="13"/>
  <c r="BC41" i="13"/>
  <c r="BC42" i="13"/>
  <c r="BC43" i="13"/>
  <c r="BC44" i="13"/>
  <c r="BC45" i="13"/>
  <c r="BC46" i="13"/>
  <c r="BC47" i="13"/>
  <c r="BC48" i="13"/>
  <c r="BC49" i="13"/>
  <c r="BC50" i="13"/>
  <c r="BC51" i="13"/>
  <c r="BC52" i="13"/>
  <c r="BC53" i="13"/>
  <c r="BC54" i="13"/>
  <c r="BC55" i="13"/>
  <c r="BC56" i="13"/>
  <c r="BC57" i="13"/>
  <c r="BC58" i="13"/>
  <c r="BC59" i="13"/>
  <c r="BC60" i="13"/>
  <c r="BC61" i="13"/>
  <c r="BC62" i="13"/>
  <c r="AZ3" i="13"/>
  <c r="AZ4" i="13"/>
  <c r="AZ5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AZ39" i="13"/>
  <c r="AZ40" i="13"/>
  <c r="AZ41" i="13"/>
  <c r="AZ42" i="13"/>
  <c r="AZ43" i="13"/>
  <c r="AZ44" i="13"/>
  <c r="AZ45" i="13"/>
  <c r="AZ46" i="13"/>
  <c r="AZ47" i="13"/>
  <c r="AZ48" i="13"/>
  <c r="AZ49" i="13"/>
  <c r="AZ50" i="13"/>
  <c r="AZ51" i="13"/>
  <c r="AZ52" i="13"/>
  <c r="AZ53" i="13"/>
  <c r="AZ54" i="13"/>
  <c r="AZ55" i="13"/>
  <c r="AZ56" i="13"/>
  <c r="AZ57" i="13"/>
  <c r="AZ58" i="13"/>
  <c r="AZ59" i="13"/>
  <c r="AZ60" i="13"/>
  <c r="AZ61" i="13"/>
  <c r="AZ62" i="13"/>
  <c r="AZ63" i="13"/>
  <c r="AZ64" i="13"/>
  <c r="AZ65" i="13"/>
  <c r="AZ66" i="13"/>
  <c r="AZ67" i="13"/>
  <c r="AZ68" i="13"/>
  <c r="AZ69" i="13"/>
  <c r="AZ70" i="13"/>
  <c r="AZ71" i="13"/>
  <c r="AZ72" i="13"/>
  <c r="AZ73" i="13"/>
  <c r="AZ74" i="13"/>
  <c r="AZ75" i="13"/>
  <c r="AZ76" i="13"/>
  <c r="AZ77" i="13"/>
  <c r="AZ78" i="13"/>
  <c r="AZ79" i="13"/>
  <c r="AZ80" i="13"/>
  <c r="AZ81" i="13"/>
  <c r="AZ82" i="13"/>
  <c r="AZ83" i="13"/>
  <c r="AZ84" i="13"/>
  <c r="AZ85" i="13"/>
  <c r="AZ86" i="13"/>
  <c r="AZ87" i="13"/>
  <c r="AZ88" i="13"/>
  <c r="AZ89" i="13"/>
  <c r="AZ90" i="13"/>
  <c r="AZ91" i="13"/>
  <c r="AZ92" i="13"/>
  <c r="AZ93" i="13"/>
  <c r="AZ94" i="13"/>
  <c r="AZ95" i="13"/>
  <c r="AZ96" i="13"/>
  <c r="AZ97" i="13"/>
  <c r="AZ98" i="13"/>
  <c r="AZ99" i="13"/>
  <c r="AZ100" i="13"/>
  <c r="AZ101" i="13"/>
  <c r="AZ102" i="13"/>
  <c r="AZ103" i="13"/>
  <c r="AZ104" i="13"/>
  <c r="AZ105" i="13"/>
  <c r="AZ106" i="13"/>
  <c r="AZ107" i="13"/>
  <c r="AZ108" i="13"/>
  <c r="AZ109" i="13"/>
  <c r="AZ110" i="13"/>
  <c r="AZ111" i="13"/>
  <c r="AZ112" i="13"/>
  <c r="AZ113" i="13"/>
  <c r="AZ114" i="13"/>
  <c r="AZ115" i="13"/>
  <c r="AZ116" i="13"/>
  <c r="AZ117" i="13"/>
  <c r="AZ118" i="13"/>
  <c r="AZ119" i="13"/>
  <c r="AZ120" i="13"/>
  <c r="AZ121" i="13"/>
  <c r="AZ122" i="13"/>
  <c r="AZ123" i="13"/>
  <c r="AZ124" i="13"/>
  <c r="AZ125" i="13"/>
  <c r="AZ126" i="13"/>
  <c r="AZ127" i="13"/>
  <c r="AZ128" i="13"/>
  <c r="AZ129" i="13"/>
  <c r="AZ130" i="13"/>
  <c r="AZ131" i="13"/>
  <c r="AZ132" i="13"/>
  <c r="AZ133" i="13"/>
  <c r="AZ134" i="13"/>
  <c r="AZ135" i="13"/>
  <c r="AZ136" i="13"/>
  <c r="AZ137" i="13"/>
  <c r="AZ138" i="13"/>
  <c r="AZ139" i="13"/>
  <c r="AZ140" i="13"/>
  <c r="AZ141" i="13"/>
  <c r="AZ142" i="13"/>
  <c r="AZ143" i="13"/>
  <c r="AZ144" i="13"/>
  <c r="AZ145" i="13"/>
  <c r="AZ146" i="13"/>
  <c r="AZ147" i="13"/>
  <c r="AZ148" i="13"/>
  <c r="AZ149" i="13"/>
  <c r="AZ150" i="13"/>
  <c r="AZ151" i="13"/>
  <c r="AZ152" i="13"/>
  <c r="AZ153" i="13"/>
  <c r="AZ154" i="13"/>
  <c r="AZ155" i="13"/>
  <c r="AZ156" i="13"/>
  <c r="AZ157" i="13"/>
  <c r="AZ158" i="13"/>
  <c r="AZ159" i="13"/>
  <c r="AZ160" i="13"/>
  <c r="AZ161" i="13"/>
  <c r="AZ162" i="13"/>
  <c r="AZ163" i="13"/>
  <c r="AZ164" i="13"/>
  <c r="AZ165" i="13"/>
  <c r="AZ166" i="13"/>
  <c r="AZ167" i="13"/>
  <c r="AZ168" i="13"/>
  <c r="AZ169" i="13"/>
  <c r="AZ170" i="13"/>
  <c r="AZ171" i="13"/>
  <c r="AZ172" i="13"/>
  <c r="AZ173" i="13"/>
  <c r="AZ174" i="13"/>
  <c r="AZ175" i="13"/>
  <c r="AZ176" i="13"/>
  <c r="AW3" i="13"/>
  <c r="AW4" i="13"/>
  <c r="AW5" i="13"/>
  <c r="AW6" i="13"/>
  <c r="G24" i="13" s="1"/>
  <c r="E70" i="15" s="1"/>
  <c r="AW7" i="13"/>
  <c r="AW8" i="13"/>
  <c r="AW9" i="13"/>
  <c r="G45" i="13" s="1"/>
  <c r="E17" i="15" s="1"/>
  <c r="AT3" i="13"/>
  <c r="AT4" i="13"/>
  <c r="F49" i="13" s="1"/>
  <c r="F25" i="15" s="1"/>
  <c r="AT5" i="13"/>
  <c r="AT6" i="13"/>
  <c r="F41" i="13" s="1"/>
  <c r="F86" i="15" s="1"/>
  <c r="AT7" i="13"/>
  <c r="AQ3" i="13"/>
  <c r="AQ4" i="13"/>
  <c r="BG1" i="15" s="1"/>
  <c r="AQ5" i="13"/>
  <c r="I1" i="5" s="1"/>
  <c r="AQ6" i="13"/>
  <c r="AQ7" i="13"/>
  <c r="AQ8" i="13"/>
  <c r="AQ9" i="13"/>
  <c r="AQ10" i="13"/>
  <c r="AI3" i="13"/>
  <c r="AI4" i="13"/>
  <c r="AI5" i="13"/>
  <c r="M40" i="13" s="1"/>
  <c r="AI6" i="13"/>
  <c r="AI7" i="13"/>
  <c r="AI8" i="13"/>
  <c r="AI9" i="13"/>
  <c r="AI10" i="13"/>
  <c r="AI11" i="13"/>
  <c r="AI12" i="13"/>
  <c r="AI13" i="13"/>
  <c r="M79" i="13" s="1"/>
  <c r="AI14" i="13"/>
  <c r="AI15" i="13"/>
  <c r="AI16" i="13"/>
  <c r="AI17" i="13"/>
  <c r="AI18" i="13"/>
  <c r="AI19" i="13"/>
  <c r="AI20" i="13"/>
  <c r="AI21" i="13"/>
  <c r="M13" i="13" s="1"/>
  <c r="AE37" i="15" s="1"/>
  <c r="AI22" i="13"/>
  <c r="AI23" i="13"/>
  <c r="AI24" i="13"/>
  <c r="AI25" i="13"/>
  <c r="M74" i="13" s="1"/>
  <c r="AI26" i="13"/>
  <c r="M68" i="13" s="1"/>
  <c r="AI27" i="13"/>
  <c r="AI28" i="13"/>
  <c r="AI29" i="13"/>
  <c r="AI30" i="13"/>
  <c r="AI31" i="13"/>
  <c r="AI32" i="13"/>
  <c r="AI33" i="13"/>
  <c r="M76" i="13" s="1"/>
  <c r="AI34" i="13"/>
  <c r="M4" i="13" s="1"/>
  <c r="AI35" i="13"/>
  <c r="AI36" i="13"/>
  <c r="AI37" i="13"/>
  <c r="M78" i="13" s="1"/>
  <c r="AE20" i="15" s="1"/>
  <c r="AI38" i="13"/>
  <c r="AI39" i="13"/>
  <c r="AI40" i="13"/>
  <c r="AI41" i="13"/>
  <c r="T43" i="12" s="1"/>
  <c r="AI42" i="13"/>
  <c r="T44" i="12" s="1"/>
  <c r="AI43" i="13"/>
  <c r="B17" i="7" s="1"/>
  <c r="AI44" i="13"/>
  <c r="AI45" i="13"/>
  <c r="T5" i="12"/>
  <c r="T12" i="12"/>
  <c r="M43" i="13"/>
  <c r="T24" i="12"/>
  <c r="M19" i="13"/>
  <c r="B4" i="7"/>
  <c r="B18" i="7"/>
  <c r="T46" i="12"/>
  <c r="B38" i="7"/>
  <c r="T6" i="12"/>
  <c r="M23" i="13"/>
  <c r="M28" i="13"/>
  <c r="T11" i="12"/>
  <c r="T16" i="12"/>
  <c r="M51" i="13"/>
  <c r="AE30" i="15" s="1"/>
  <c r="M59" i="13"/>
  <c r="M14" i="13"/>
  <c r="M27" i="13"/>
  <c r="T30" i="12"/>
  <c r="M29" i="13"/>
  <c r="T33" i="12"/>
  <c r="B20" i="7"/>
  <c r="B29" i="7"/>
  <c r="T14" i="12"/>
  <c r="T34" i="12"/>
  <c r="B41" i="7"/>
  <c r="AF47" i="13"/>
  <c r="AF46" i="13"/>
  <c r="AF45" i="13"/>
  <c r="K72" i="13" s="1"/>
  <c r="W77" i="15" s="1"/>
  <c r="AF44" i="13"/>
  <c r="Q46" i="12" s="1"/>
  <c r="AF43" i="13"/>
  <c r="AF42" i="13"/>
  <c r="AF41" i="13"/>
  <c r="O16" i="4" s="1"/>
  <c r="AF40" i="13"/>
  <c r="Q42" i="12" s="1"/>
  <c r="AF39" i="13"/>
  <c r="AF38" i="13"/>
  <c r="AF37" i="13"/>
  <c r="AF36" i="13"/>
  <c r="K15" i="4" s="1"/>
  <c r="AF35" i="13"/>
  <c r="AF34" i="13"/>
  <c r="AF33" i="13"/>
  <c r="K14" i="4" s="1"/>
  <c r="AF32" i="13"/>
  <c r="U13" i="4" s="1"/>
  <c r="AF31" i="13"/>
  <c r="AF30" i="13"/>
  <c r="AF29" i="13"/>
  <c r="AF28" i="13"/>
  <c r="S12" i="4" s="1"/>
  <c r="AF27" i="13"/>
  <c r="AF26" i="13"/>
  <c r="AF25" i="13"/>
  <c r="S11" i="4" s="1"/>
  <c r="AF24" i="13"/>
  <c r="K11" i="4" s="1"/>
  <c r="AF23" i="13"/>
  <c r="AF22" i="13"/>
  <c r="AF21" i="13"/>
  <c r="K84" i="13" s="1"/>
  <c r="W70" i="15" s="1"/>
  <c r="AF20" i="13"/>
  <c r="Q22" i="12" s="1"/>
  <c r="AF19" i="13"/>
  <c r="AF18" i="13"/>
  <c r="AF17" i="13"/>
  <c r="I8" i="4" s="1"/>
  <c r="AF16" i="13"/>
  <c r="M8" i="4" s="1"/>
  <c r="AF15" i="13"/>
  <c r="AF14" i="13"/>
  <c r="AF13" i="13"/>
  <c r="Q15" i="12" s="1"/>
  <c r="AF12" i="13"/>
  <c r="K7" i="4" s="1"/>
  <c r="AF11" i="13"/>
  <c r="AF10" i="13"/>
  <c r="AF9" i="13"/>
  <c r="K6" i="4" s="1"/>
  <c r="AF8" i="13"/>
  <c r="U5" i="4" s="1"/>
  <c r="AF7" i="13"/>
  <c r="AF6" i="13"/>
  <c r="K49" i="13" s="1"/>
  <c r="AF5" i="13"/>
  <c r="U4" i="4" s="1"/>
  <c r="AF4" i="13"/>
  <c r="Q6" i="12" s="1"/>
  <c r="AF3" i="13"/>
  <c r="K28" i="13" s="1"/>
  <c r="M15" i="4"/>
  <c r="O15" i="4"/>
  <c r="K36" i="13"/>
  <c r="Q45" i="12"/>
  <c r="O18" i="4"/>
  <c r="Q12" i="12"/>
  <c r="O7" i="4"/>
  <c r="K59" i="13"/>
  <c r="W9" i="15" s="1"/>
  <c r="S9" i="4"/>
  <c r="M10" i="4"/>
  <c r="I11" i="4"/>
  <c r="O12" i="4"/>
  <c r="K13" i="4"/>
  <c r="S14" i="4"/>
  <c r="K50" i="13"/>
  <c r="W28" i="15" s="1"/>
  <c r="S18" i="4"/>
  <c r="AD3" i="13"/>
  <c r="AD4" i="13"/>
  <c r="AD5" i="13"/>
  <c r="W6" i="17" s="1"/>
  <c r="AD6" i="13"/>
  <c r="W5" i="17" s="1"/>
  <c r="AD7" i="13"/>
  <c r="W9" i="17" s="1"/>
  <c r="AD8" i="13"/>
  <c r="AD9" i="13"/>
  <c r="AD10" i="13"/>
  <c r="K11" i="17" s="1"/>
  <c r="AD11" i="13"/>
  <c r="W12" i="17" s="1"/>
  <c r="AD12" i="13"/>
  <c r="AD13" i="13"/>
  <c r="K14" i="17" s="1"/>
  <c r="AD14" i="13"/>
  <c r="Q15" i="17" s="1"/>
  <c r="AD15" i="13"/>
  <c r="K7" i="17"/>
  <c r="W14" i="17"/>
  <c r="K16" i="17"/>
  <c r="AB3" i="13"/>
  <c r="I7" i="17" s="1"/>
  <c r="AB4" i="13"/>
  <c r="AB5" i="13"/>
  <c r="O6" i="17" s="1"/>
  <c r="AB6" i="13"/>
  <c r="O5" i="17" s="1"/>
  <c r="AB7" i="13"/>
  <c r="O9" i="17" s="1"/>
  <c r="AB8" i="13"/>
  <c r="AB9" i="13"/>
  <c r="AB10" i="13"/>
  <c r="AB11" i="13"/>
  <c r="U12" i="17" s="1"/>
  <c r="AB12" i="13"/>
  <c r="AB13" i="13"/>
  <c r="I14" i="17" s="1"/>
  <c r="AB14" i="13"/>
  <c r="U15" i="17" s="1"/>
  <c r="AB15" i="13"/>
  <c r="O16" i="17" s="1"/>
  <c r="U10" i="17"/>
  <c r="U11" i="17"/>
  <c r="O13" i="17"/>
  <c r="Z3" i="13"/>
  <c r="Z4" i="13"/>
  <c r="Z5" i="13"/>
  <c r="Z6" i="13"/>
  <c r="Z7" i="13"/>
  <c r="Z8" i="13"/>
  <c r="Z9" i="13"/>
  <c r="Z10" i="13"/>
  <c r="Z11" i="13"/>
  <c r="J13" i="12" s="1"/>
  <c r="Z12" i="13"/>
  <c r="Z13" i="13"/>
  <c r="L4" i="13" s="1"/>
  <c r="Z14" i="13"/>
  <c r="Z15" i="13"/>
  <c r="G16" i="17" s="1"/>
  <c r="T3" i="13"/>
  <c r="T4" i="13"/>
  <c r="T5" i="13"/>
  <c r="T6" i="13"/>
  <c r="D6" i="5" s="1"/>
  <c r="T7" i="13"/>
  <c r="T8" i="13"/>
  <c r="T9" i="13"/>
  <c r="D11" i="5" s="1"/>
  <c r="T10" i="13"/>
  <c r="G12" i="12" s="1"/>
  <c r="T11" i="13"/>
  <c r="J82" i="13" s="1"/>
  <c r="T12" i="13"/>
  <c r="D12" i="5" s="1"/>
  <c r="T13" i="13"/>
  <c r="T14" i="13"/>
  <c r="J10" i="13" s="1"/>
  <c r="AB39" i="15" s="1"/>
  <c r="T15" i="13"/>
  <c r="J27" i="13" s="1"/>
  <c r="T16" i="13"/>
  <c r="J84" i="13" s="1"/>
  <c r="T17" i="13"/>
  <c r="T18" i="13"/>
  <c r="J24" i="13" s="1"/>
  <c r="T19" i="13"/>
  <c r="J76" i="13" s="1"/>
  <c r="T20" i="13"/>
  <c r="J74" i="13" s="1"/>
  <c r="T21" i="13"/>
  <c r="T22" i="13"/>
  <c r="J17" i="13" s="1"/>
  <c r="T23" i="13"/>
  <c r="J37" i="13" s="1"/>
  <c r="T24" i="13"/>
  <c r="D26" i="5" s="1"/>
  <c r="T25" i="13"/>
  <c r="T26" i="13"/>
  <c r="J7" i="13" s="1"/>
  <c r="T27" i="13"/>
  <c r="J61" i="13" s="1"/>
  <c r="AB14" i="15" s="1"/>
  <c r="T28" i="13"/>
  <c r="D28" i="5" s="1"/>
  <c r="T29" i="13"/>
  <c r="J51" i="13" s="1"/>
  <c r="AB30" i="15" s="1"/>
  <c r="T30" i="13"/>
  <c r="J58" i="13" s="1"/>
  <c r="T31" i="13"/>
  <c r="D30" i="5" s="1"/>
  <c r="T32" i="13"/>
  <c r="G34" i="12" s="1"/>
  <c r="P3" i="13"/>
  <c r="P4" i="13"/>
  <c r="P5" i="13"/>
  <c r="P6" i="13"/>
  <c r="P7" i="13"/>
  <c r="P8" i="13"/>
  <c r="P9" i="13"/>
  <c r="B9" i="3" s="1"/>
  <c r="P10" i="13"/>
  <c r="P11" i="13"/>
  <c r="P12" i="13"/>
  <c r="P13" i="13"/>
  <c r="B13" i="3" s="1"/>
  <c r="P14" i="13"/>
  <c r="P15" i="13"/>
  <c r="P16" i="13"/>
  <c r="B16" i="3" s="1"/>
  <c r="P17" i="13"/>
  <c r="I83" i="13" s="1"/>
  <c r="P18" i="13"/>
  <c r="P19" i="13"/>
  <c r="P20" i="13"/>
  <c r="I48" i="13" s="1"/>
  <c r="P21" i="13"/>
  <c r="I71" i="13" s="1"/>
  <c r="P22" i="13"/>
  <c r="P23" i="13"/>
  <c r="P24" i="13"/>
  <c r="B24" i="3" s="1"/>
  <c r="P25" i="13"/>
  <c r="B25" i="3" s="1"/>
  <c r="P26" i="13"/>
  <c r="P27" i="13"/>
  <c r="P28" i="13"/>
  <c r="B28" i="3" s="1"/>
  <c r="P29" i="13"/>
  <c r="I61" i="13" s="1"/>
  <c r="P30" i="13"/>
  <c r="P31" i="13"/>
  <c r="P32" i="13"/>
  <c r="B32" i="3" s="1"/>
  <c r="P33" i="13"/>
  <c r="D35" i="12" s="1"/>
  <c r="D3" i="13"/>
  <c r="D4" i="13"/>
  <c r="D5" i="13"/>
  <c r="B12" i="15" s="1"/>
  <c r="D6" i="13"/>
  <c r="B16" i="15" s="1"/>
  <c r="D7" i="13"/>
  <c r="D8" i="13"/>
  <c r="D9" i="13"/>
  <c r="D10" i="13"/>
  <c r="B39" i="15" s="1"/>
  <c r="D11" i="13"/>
  <c r="D12" i="13"/>
  <c r="D13" i="13"/>
  <c r="D14" i="13"/>
  <c r="B40" i="15" s="1"/>
  <c r="D15" i="13"/>
  <c r="D16" i="13"/>
  <c r="D17" i="13"/>
  <c r="D18" i="13"/>
  <c r="D19" i="13"/>
  <c r="D20" i="13"/>
  <c r="D21" i="13"/>
  <c r="D22" i="13"/>
  <c r="B72" i="15" s="1"/>
  <c r="D23" i="13"/>
  <c r="D24" i="13"/>
  <c r="D25" i="13"/>
  <c r="D26" i="13"/>
  <c r="D27" i="13"/>
  <c r="D28" i="13"/>
  <c r="D29" i="13"/>
  <c r="B19" i="15" s="1"/>
  <c r="D30" i="13"/>
  <c r="B23" i="15" s="1"/>
  <c r="D31" i="13"/>
  <c r="D32" i="13"/>
  <c r="D33" i="13"/>
  <c r="D34" i="13"/>
  <c r="B32" i="15" s="1"/>
  <c r="D35" i="13"/>
  <c r="D36" i="13"/>
  <c r="D37" i="13"/>
  <c r="D38" i="13"/>
  <c r="D39" i="13"/>
  <c r="D40" i="13"/>
  <c r="D41" i="13"/>
  <c r="D42" i="13"/>
  <c r="B87" i="15" s="1"/>
  <c r="D43" i="13"/>
  <c r="D44" i="13"/>
  <c r="B11" i="15" s="1"/>
  <c r="D45" i="13"/>
  <c r="D46" i="13"/>
  <c r="B21" i="15" s="1"/>
  <c r="D47" i="13"/>
  <c r="D48" i="13"/>
  <c r="D49" i="13"/>
  <c r="D50" i="13"/>
  <c r="B28" i="15" s="1"/>
  <c r="D51" i="13"/>
  <c r="D52" i="13"/>
  <c r="B38" i="15" s="1"/>
  <c r="D53" i="13"/>
  <c r="D54" i="13"/>
  <c r="D55" i="13"/>
  <c r="D56" i="13"/>
  <c r="D57" i="13"/>
  <c r="D58" i="13"/>
  <c r="B8" i="15" s="1"/>
  <c r="D59" i="13"/>
  <c r="D60" i="13"/>
  <c r="D61" i="13"/>
  <c r="D62" i="13"/>
  <c r="B42" i="15" s="1"/>
  <c r="D63" i="13"/>
  <c r="D64" i="13"/>
  <c r="B50" i="15" s="1"/>
  <c r="D65" i="13"/>
  <c r="D66" i="13"/>
  <c r="B53" i="15" s="1"/>
  <c r="D67" i="13"/>
  <c r="D68" i="13"/>
  <c r="B61" i="15" s="1"/>
  <c r="D69" i="13"/>
  <c r="D70" i="13"/>
  <c r="B66" i="15" s="1"/>
  <c r="D71" i="13"/>
  <c r="D72" i="13"/>
  <c r="B77" i="15" s="1"/>
  <c r="D73" i="13"/>
  <c r="D74" i="13"/>
  <c r="B83" i="15" s="1"/>
  <c r="D75" i="13"/>
  <c r="D76" i="13"/>
  <c r="D77" i="13"/>
  <c r="B15" i="15" s="1"/>
  <c r="D78" i="13"/>
  <c r="B20" i="15" s="1"/>
  <c r="D79" i="13"/>
  <c r="D80" i="13"/>
  <c r="B49" i="15" s="1"/>
  <c r="D81" i="13"/>
  <c r="B58" i="15" s="1"/>
  <c r="D82" i="13"/>
  <c r="B60" i="15" s="1"/>
  <c r="D83" i="13"/>
  <c r="D84" i="13"/>
  <c r="B68" i="15" s="1"/>
  <c r="D85" i="13"/>
  <c r="D86" i="13"/>
  <c r="D87" i="13"/>
  <c r="D88" i="13"/>
  <c r="B88" i="15" s="1"/>
  <c r="D89" i="13"/>
  <c r="B89" i="15" s="1"/>
  <c r="A3" i="13"/>
  <c r="R1" i="15" s="1"/>
  <c r="A4" i="13"/>
  <c r="A5" i="13"/>
  <c r="A6" i="13"/>
  <c r="A8" i="12" s="1"/>
  <c r="AT3" i="15"/>
  <c r="AT4" i="15"/>
  <c r="AT5" i="15"/>
  <c r="AT6" i="15"/>
  <c r="AT7" i="15"/>
  <c r="AT8" i="15"/>
  <c r="AT9" i="15"/>
  <c r="AT10" i="15"/>
  <c r="AT11" i="15"/>
  <c r="AT12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AT46" i="15"/>
  <c r="AT47" i="15"/>
  <c r="AT48" i="15"/>
  <c r="AT49" i="15"/>
  <c r="AT50" i="15"/>
  <c r="AT51" i="15"/>
  <c r="AT52" i="15"/>
  <c r="AT53" i="15"/>
  <c r="AT54" i="15"/>
  <c r="AT55" i="15"/>
  <c r="AT56" i="15"/>
  <c r="AT57" i="15"/>
  <c r="AT58" i="15"/>
  <c r="AT59" i="15"/>
  <c r="AT60" i="15"/>
  <c r="AT61" i="15"/>
  <c r="AT62" i="15"/>
  <c r="AT63" i="15"/>
  <c r="AT64" i="15"/>
  <c r="AT65" i="15"/>
  <c r="AT66" i="15"/>
  <c r="AT67" i="15"/>
  <c r="AT68" i="15"/>
  <c r="AT69" i="15"/>
  <c r="AT70" i="15"/>
  <c r="AT71" i="15"/>
  <c r="AT72" i="15"/>
  <c r="AT73" i="15"/>
  <c r="AT74" i="15"/>
  <c r="AT75" i="15"/>
  <c r="AT76" i="15"/>
  <c r="AT77" i="15"/>
  <c r="AT78" i="15"/>
  <c r="AT79" i="15"/>
  <c r="AT80" i="15"/>
  <c r="AT81" i="15"/>
  <c r="AT82" i="15"/>
  <c r="AT83" i="15"/>
  <c r="AT84" i="15"/>
  <c r="AT85" i="15"/>
  <c r="AT86" i="15"/>
  <c r="AT87" i="15"/>
  <c r="AT88" i="15"/>
  <c r="AT89" i="15"/>
  <c r="AS3" i="15"/>
  <c r="AS4" i="15"/>
  <c r="AS5" i="15"/>
  <c r="AS6" i="15"/>
  <c r="AS7" i="15"/>
  <c r="AS8" i="15"/>
  <c r="AS9" i="15"/>
  <c r="AS10" i="15"/>
  <c r="AS11" i="15"/>
  <c r="AS12" i="15"/>
  <c r="AS13" i="15"/>
  <c r="AS14" i="15"/>
  <c r="AS15" i="15"/>
  <c r="AS16" i="15"/>
  <c r="AS17" i="15"/>
  <c r="AS18" i="15"/>
  <c r="AS19" i="15"/>
  <c r="AS20" i="15"/>
  <c r="AS21" i="15"/>
  <c r="AS22" i="15"/>
  <c r="AS23" i="15"/>
  <c r="AS24" i="15"/>
  <c r="AS25" i="15"/>
  <c r="AS26" i="15"/>
  <c r="AS27" i="15"/>
  <c r="AS28" i="15"/>
  <c r="AS29" i="15"/>
  <c r="AS30" i="15"/>
  <c r="AS31" i="15"/>
  <c r="AS32" i="15"/>
  <c r="AS33" i="15"/>
  <c r="AS34" i="15"/>
  <c r="AS35" i="15"/>
  <c r="AS36" i="15"/>
  <c r="AS37" i="15"/>
  <c r="AS38" i="15"/>
  <c r="AS39" i="15"/>
  <c r="AS40" i="15"/>
  <c r="AS41" i="15"/>
  <c r="AS42" i="15"/>
  <c r="AS43" i="15"/>
  <c r="AS44" i="15"/>
  <c r="AS45" i="15"/>
  <c r="AS46" i="15"/>
  <c r="AS47" i="15"/>
  <c r="AS48" i="15"/>
  <c r="AS49" i="15"/>
  <c r="AS50" i="15"/>
  <c r="AS51" i="15"/>
  <c r="AS52" i="15"/>
  <c r="AS53" i="15"/>
  <c r="AS54" i="15"/>
  <c r="AS55" i="15"/>
  <c r="AS56" i="15"/>
  <c r="AS57" i="15"/>
  <c r="AS58" i="15"/>
  <c r="AS59" i="15"/>
  <c r="AS60" i="15"/>
  <c r="AS61" i="15"/>
  <c r="AS62" i="15"/>
  <c r="AS63" i="15"/>
  <c r="AS64" i="15"/>
  <c r="AS65" i="15"/>
  <c r="AS66" i="15"/>
  <c r="AS67" i="15"/>
  <c r="AS68" i="15"/>
  <c r="AS69" i="15"/>
  <c r="AS70" i="15"/>
  <c r="AS71" i="15"/>
  <c r="AS72" i="15"/>
  <c r="AS73" i="15"/>
  <c r="AS74" i="15"/>
  <c r="AS75" i="15"/>
  <c r="AS76" i="15"/>
  <c r="AS77" i="15"/>
  <c r="AS78" i="15"/>
  <c r="AS79" i="15"/>
  <c r="AS80" i="15"/>
  <c r="AS81" i="15"/>
  <c r="AS82" i="15"/>
  <c r="AS83" i="15"/>
  <c r="AS84" i="15"/>
  <c r="AS85" i="15"/>
  <c r="AS86" i="15"/>
  <c r="AS87" i="15"/>
  <c r="AS88" i="15"/>
  <c r="AS89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Z3" i="15"/>
  <c r="Z4" i="15"/>
  <c r="Z5" i="15"/>
  <c r="Z6" i="15"/>
  <c r="Z7" i="15"/>
  <c r="Z8" i="15"/>
  <c r="Z9" i="15"/>
  <c r="Z10" i="15"/>
  <c r="Z11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Y3" i="15"/>
  <c r="Y4" i="15"/>
  <c r="Y5" i="15"/>
  <c r="Y6" i="15"/>
  <c r="Y7" i="15"/>
  <c r="Y8" i="15"/>
  <c r="Y9" i="15"/>
  <c r="Y10" i="15"/>
  <c r="Y11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X3" i="15"/>
  <c r="X4" i="15"/>
  <c r="X5" i="15"/>
  <c r="X6" i="15"/>
  <c r="X7" i="15"/>
  <c r="X8" i="15"/>
  <c r="X9" i="15"/>
  <c r="X10" i="15"/>
  <c r="X11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C12" i="15"/>
  <c r="Y12" i="15" s="1"/>
  <c r="BG3" i="15"/>
  <c r="BG4" i="15"/>
  <c r="BG5" i="15"/>
  <c r="BG6" i="15"/>
  <c r="BG7" i="15"/>
  <c r="BG8" i="15"/>
  <c r="BG9" i="15"/>
  <c r="BG10" i="15"/>
  <c r="BG11" i="15"/>
  <c r="BG12" i="15"/>
  <c r="BG13" i="15"/>
  <c r="BG14" i="15"/>
  <c r="BG15" i="15"/>
  <c r="BG16" i="15"/>
  <c r="BG17" i="15"/>
  <c r="BG18" i="15"/>
  <c r="BG19" i="15"/>
  <c r="BG20" i="15"/>
  <c r="BG21" i="15"/>
  <c r="BG22" i="15"/>
  <c r="BG23" i="15"/>
  <c r="BG24" i="15"/>
  <c r="BG25" i="15"/>
  <c r="BG26" i="15"/>
  <c r="BG27" i="15"/>
  <c r="BG28" i="15"/>
  <c r="BG29" i="15"/>
  <c r="BG30" i="15"/>
  <c r="BG31" i="15"/>
  <c r="BG32" i="15"/>
  <c r="BG33" i="15"/>
  <c r="BG34" i="15"/>
  <c r="BG35" i="15"/>
  <c r="BG36" i="15"/>
  <c r="BG37" i="15"/>
  <c r="BG38" i="15"/>
  <c r="BG39" i="15"/>
  <c r="BG40" i="15"/>
  <c r="BG41" i="15"/>
  <c r="BG42" i="15"/>
  <c r="BG43" i="15"/>
  <c r="BG44" i="15"/>
  <c r="BG45" i="15"/>
  <c r="BG46" i="15"/>
  <c r="BG47" i="15"/>
  <c r="BG48" i="15"/>
  <c r="BG49" i="15"/>
  <c r="BG50" i="15"/>
  <c r="BG51" i="15"/>
  <c r="BG52" i="15"/>
  <c r="BG53" i="15"/>
  <c r="BG54" i="15"/>
  <c r="BG55" i="15"/>
  <c r="BG56" i="15"/>
  <c r="BG57" i="15"/>
  <c r="BG58" i="15"/>
  <c r="BG59" i="15"/>
  <c r="BG60" i="15"/>
  <c r="BG61" i="15"/>
  <c r="BG62" i="15"/>
  <c r="BG63" i="15"/>
  <c r="BG64" i="15"/>
  <c r="BG65" i="15"/>
  <c r="BG66" i="15"/>
  <c r="BG67" i="15"/>
  <c r="BG68" i="15"/>
  <c r="BG69" i="15"/>
  <c r="BG70" i="15"/>
  <c r="BG71" i="15"/>
  <c r="BG72" i="15"/>
  <c r="BG73" i="15"/>
  <c r="BG74" i="15"/>
  <c r="BG75" i="15"/>
  <c r="BG76" i="15"/>
  <c r="BG77" i="15"/>
  <c r="BG78" i="15"/>
  <c r="BG79" i="15"/>
  <c r="BG80" i="15"/>
  <c r="BG81" i="15"/>
  <c r="BG82" i="15"/>
  <c r="BG83" i="15"/>
  <c r="BG84" i="15"/>
  <c r="BG85" i="15"/>
  <c r="BG86" i="15"/>
  <c r="BG87" i="15"/>
  <c r="BG88" i="15"/>
  <c r="BG89" i="15"/>
  <c r="BF3" i="15"/>
  <c r="BF4" i="15"/>
  <c r="BF5" i="15"/>
  <c r="BF6" i="15"/>
  <c r="BF7" i="15"/>
  <c r="BF8" i="15"/>
  <c r="BF9" i="15"/>
  <c r="BF10" i="15"/>
  <c r="BF11" i="15"/>
  <c r="BF12" i="15"/>
  <c r="BF13" i="15"/>
  <c r="BF14" i="15"/>
  <c r="BF15" i="15"/>
  <c r="BF16" i="15"/>
  <c r="BF17" i="15"/>
  <c r="BF18" i="15"/>
  <c r="BF19" i="15"/>
  <c r="BF20" i="15"/>
  <c r="BF21" i="15"/>
  <c r="BF22" i="15"/>
  <c r="BF23" i="15"/>
  <c r="BF24" i="15"/>
  <c r="BF25" i="15"/>
  <c r="BF26" i="15"/>
  <c r="BF27" i="15"/>
  <c r="BF28" i="15"/>
  <c r="BF29" i="15"/>
  <c r="BF30" i="15"/>
  <c r="BF31" i="15"/>
  <c r="BF32" i="15"/>
  <c r="BF33" i="15"/>
  <c r="BF34" i="15"/>
  <c r="BF35" i="15"/>
  <c r="BF36" i="15"/>
  <c r="BF37" i="15"/>
  <c r="BF38" i="15"/>
  <c r="BF39" i="15"/>
  <c r="BF40" i="15"/>
  <c r="BF41" i="15"/>
  <c r="BF42" i="15"/>
  <c r="BF43" i="15"/>
  <c r="BF44" i="15"/>
  <c r="BF45" i="15"/>
  <c r="BF46" i="15"/>
  <c r="BF47" i="15"/>
  <c r="BF48" i="15"/>
  <c r="BF49" i="15"/>
  <c r="BF50" i="15"/>
  <c r="BF51" i="15"/>
  <c r="BF52" i="15"/>
  <c r="BF53" i="15"/>
  <c r="BF54" i="15"/>
  <c r="BF55" i="15"/>
  <c r="BF56" i="15"/>
  <c r="BF57" i="15"/>
  <c r="BF58" i="15"/>
  <c r="BF59" i="15"/>
  <c r="BF60" i="15"/>
  <c r="BF61" i="15"/>
  <c r="BF62" i="15"/>
  <c r="BF63" i="15"/>
  <c r="BF64" i="15"/>
  <c r="BF65" i="15"/>
  <c r="BF66" i="15"/>
  <c r="BF67" i="15"/>
  <c r="BF68" i="15"/>
  <c r="BF69" i="15"/>
  <c r="BF70" i="15"/>
  <c r="BF71" i="15"/>
  <c r="BF72" i="15"/>
  <c r="BF73" i="15"/>
  <c r="BF74" i="15"/>
  <c r="BF75" i="15"/>
  <c r="BF76" i="15"/>
  <c r="BF77" i="15"/>
  <c r="BF78" i="15"/>
  <c r="BF79" i="15"/>
  <c r="BF80" i="15"/>
  <c r="BF81" i="15"/>
  <c r="BF82" i="15"/>
  <c r="BF83" i="15"/>
  <c r="BF84" i="15"/>
  <c r="BF85" i="15"/>
  <c r="BF86" i="15"/>
  <c r="BF87" i="15"/>
  <c r="BF88" i="15"/>
  <c r="BF89" i="15"/>
  <c r="BE3" i="15"/>
  <c r="BE4" i="15"/>
  <c r="BE5" i="15"/>
  <c r="BE6" i="15"/>
  <c r="BE7" i="15"/>
  <c r="BE8" i="15"/>
  <c r="BE9" i="15"/>
  <c r="BE10" i="15"/>
  <c r="BE11" i="15"/>
  <c r="BE12" i="15"/>
  <c r="BE13" i="15"/>
  <c r="BE14" i="15"/>
  <c r="BE15" i="15"/>
  <c r="BE16" i="15"/>
  <c r="BE17" i="15"/>
  <c r="BE18" i="15"/>
  <c r="BE19" i="15"/>
  <c r="BE20" i="15"/>
  <c r="BE21" i="15"/>
  <c r="BE22" i="15"/>
  <c r="BE23" i="15"/>
  <c r="BE24" i="15"/>
  <c r="BE25" i="15"/>
  <c r="BE26" i="15"/>
  <c r="BE27" i="15"/>
  <c r="BE28" i="15"/>
  <c r="BE29" i="15"/>
  <c r="BE30" i="15"/>
  <c r="BE31" i="15"/>
  <c r="BE32" i="15"/>
  <c r="BE33" i="15"/>
  <c r="BE34" i="15"/>
  <c r="BE35" i="15"/>
  <c r="BE36" i="15"/>
  <c r="BE37" i="15"/>
  <c r="BE38" i="15"/>
  <c r="BE39" i="15"/>
  <c r="BE40" i="15"/>
  <c r="BE41" i="15"/>
  <c r="BE42" i="15"/>
  <c r="BE43" i="15"/>
  <c r="BE44" i="15"/>
  <c r="BE45" i="15"/>
  <c r="BE46" i="15"/>
  <c r="BE47" i="15"/>
  <c r="BE48" i="15"/>
  <c r="BE49" i="15"/>
  <c r="BE50" i="15"/>
  <c r="BE51" i="15"/>
  <c r="BE52" i="15"/>
  <c r="BE53" i="15"/>
  <c r="BE54" i="15"/>
  <c r="BE55" i="15"/>
  <c r="BE56" i="15"/>
  <c r="BE57" i="15"/>
  <c r="BE58" i="15"/>
  <c r="BE59" i="15"/>
  <c r="BE60" i="15"/>
  <c r="BE61" i="15"/>
  <c r="BE62" i="15"/>
  <c r="BE63" i="15"/>
  <c r="BE64" i="15"/>
  <c r="BE65" i="15"/>
  <c r="BE66" i="15"/>
  <c r="BE67" i="15"/>
  <c r="BE68" i="15"/>
  <c r="BE69" i="15"/>
  <c r="BE70" i="15"/>
  <c r="BE71" i="15"/>
  <c r="BE72" i="15"/>
  <c r="BE73" i="15"/>
  <c r="BE74" i="15"/>
  <c r="BE75" i="15"/>
  <c r="BE76" i="15"/>
  <c r="BE77" i="15"/>
  <c r="BE78" i="15"/>
  <c r="BE79" i="15"/>
  <c r="BE80" i="15"/>
  <c r="BE81" i="15"/>
  <c r="BE82" i="15"/>
  <c r="BE83" i="15"/>
  <c r="BE84" i="15"/>
  <c r="BE85" i="15"/>
  <c r="BE86" i="15"/>
  <c r="BE87" i="15"/>
  <c r="BE88" i="15"/>
  <c r="BE89" i="15"/>
  <c r="U3" i="15"/>
  <c r="U4" i="15"/>
  <c r="U5" i="15"/>
  <c r="U6" i="15"/>
  <c r="U7" i="15"/>
  <c r="U9" i="15"/>
  <c r="U10" i="15"/>
  <c r="U11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AM4" i="13"/>
  <c r="AM5" i="13"/>
  <c r="AL5" i="13" s="1"/>
  <c r="AM6" i="13"/>
  <c r="AL6" i="13" s="1"/>
  <c r="AM7" i="13"/>
  <c r="AL7" i="13" s="1"/>
  <c r="AM8" i="13"/>
  <c r="AL8" i="13" s="1"/>
  <c r="AM9" i="13"/>
  <c r="AL9" i="13" s="1"/>
  <c r="AM10" i="13"/>
  <c r="AL10" i="13" s="1"/>
  <c r="AM11" i="13"/>
  <c r="AL11" i="13" s="1"/>
  <c r="AM12" i="13"/>
  <c r="AL12" i="13" s="1"/>
  <c r="AM13" i="13"/>
  <c r="AL13" i="13" s="1"/>
  <c r="AM14" i="13"/>
  <c r="AL14" i="13" s="1"/>
  <c r="AM15" i="13"/>
  <c r="AL15" i="13" s="1"/>
  <c r="AM16" i="13"/>
  <c r="AL16" i="13" s="1"/>
  <c r="M7" i="18" s="1"/>
  <c r="AM17" i="13"/>
  <c r="AL17" i="13" s="1"/>
  <c r="AM18" i="13"/>
  <c r="AL18" i="13" s="1"/>
  <c r="AM19" i="13"/>
  <c r="AL19" i="13" s="1"/>
  <c r="AM20" i="13"/>
  <c r="AL20" i="13" s="1"/>
  <c r="AM21" i="13"/>
  <c r="AL21" i="13" s="1"/>
  <c r="AM22" i="13"/>
  <c r="AL22" i="13" s="1"/>
  <c r="AM23" i="13"/>
  <c r="AL23" i="13" s="1"/>
  <c r="AM24" i="13"/>
  <c r="AL24" i="13" s="1"/>
  <c r="AM25" i="13"/>
  <c r="AL25" i="13" s="1"/>
  <c r="AM26" i="13"/>
  <c r="AL26" i="13" s="1"/>
  <c r="Q9" i="18" s="1"/>
  <c r="AM27" i="13"/>
  <c r="AL27" i="13" s="1"/>
  <c r="AM28" i="13"/>
  <c r="AL28" i="13" s="1"/>
  <c r="AM29" i="13"/>
  <c r="AL29" i="13" s="1"/>
  <c r="AM30" i="13"/>
  <c r="AL30" i="13" s="1"/>
  <c r="AM31" i="13"/>
  <c r="AL31" i="13" s="1"/>
  <c r="AM32" i="13"/>
  <c r="AL32" i="13" s="1"/>
  <c r="AM33" i="13"/>
  <c r="AL33" i="13" s="1"/>
  <c r="AM34" i="13"/>
  <c r="AL34" i="13" s="1"/>
  <c r="AM3" i="13"/>
  <c r="AL3" i="13" s="1"/>
  <c r="K4" i="18" s="1"/>
  <c r="D6" i="12"/>
  <c r="O6" i="4"/>
  <c r="Q9" i="12"/>
  <c r="O5" i="4"/>
  <c r="K9" i="4"/>
  <c r="Q21" i="12"/>
  <c r="K8" i="4"/>
  <c r="Q24" i="12"/>
  <c r="O10" i="4"/>
  <c r="K12" i="4"/>
  <c r="Q30" i="12"/>
  <c r="O14" i="4"/>
  <c r="Q33" i="12"/>
  <c r="O13" i="4"/>
  <c r="Q39" i="12"/>
  <c r="K16" i="4"/>
  <c r="U8" i="17"/>
  <c r="N10" i="12"/>
  <c r="Q10" i="17"/>
  <c r="N13" i="12"/>
  <c r="W13" i="17"/>
  <c r="Q14" i="17"/>
  <c r="L33" i="13"/>
  <c r="L38" i="13"/>
  <c r="M8" i="17"/>
  <c r="J5" i="12"/>
  <c r="AI3" i="15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6" i="3"/>
  <c r="G71" i="13"/>
  <c r="G54" i="13"/>
  <c r="E56" i="15" s="1"/>
  <c r="G37" i="13"/>
  <c r="G66" i="13"/>
  <c r="E53" i="15" s="1"/>
  <c r="G79" i="13"/>
  <c r="E33" i="15" s="1"/>
  <c r="BB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20" i="15"/>
  <c r="BB21" i="15"/>
  <c r="BB22" i="15"/>
  <c r="BB23" i="15"/>
  <c r="BB24" i="15"/>
  <c r="BB25" i="15"/>
  <c r="BB26" i="15"/>
  <c r="BB27" i="15"/>
  <c r="BB28" i="15"/>
  <c r="BB29" i="15"/>
  <c r="BB30" i="15"/>
  <c r="BB31" i="15"/>
  <c r="BB32" i="15"/>
  <c r="BB33" i="15"/>
  <c r="BB34" i="15"/>
  <c r="BB35" i="15"/>
  <c r="BB36" i="15"/>
  <c r="BB37" i="15"/>
  <c r="BB38" i="15"/>
  <c r="BB39" i="15"/>
  <c r="BB40" i="15"/>
  <c r="BB41" i="15"/>
  <c r="BB42" i="15"/>
  <c r="BB43" i="15"/>
  <c r="BB44" i="15"/>
  <c r="BB45" i="15"/>
  <c r="BB46" i="15"/>
  <c r="BB47" i="15"/>
  <c r="BB48" i="15"/>
  <c r="BB49" i="15"/>
  <c r="BB50" i="15"/>
  <c r="BB51" i="15"/>
  <c r="BB52" i="15"/>
  <c r="BB53" i="15"/>
  <c r="BB54" i="15"/>
  <c r="BB55" i="15"/>
  <c r="BB56" i="15"/>
  <c r="BB57" i="15"/>
  <c r="BB58" i="15"/>
  <c r="BB59" i="15"/>
  <c r="BB60" i="15"/>
  <c r="BB61" i="15"/>
  <c r="BB62" i="15"/>
  <c r="BB63" i="15"/>
  <c r="BB64" i="15"/>
  <c r="BB65" i="15"/>
  <c r="BB66" i="15"/>
  <c r="BB67" i="15"/>
  <c r="BB68" i="15"/>
  <c r="BB69" i="15"/>
  <c r="BB70" i="15"/>
  <c r="BB71" i="15"/>
  <c r="BB72" i="15"/>
  <c r="BB73" i="15"/>
  <c r="BB74" i="15"/>
  <c r="BB75" i="15"/>
  <c r="BB76" i="15"/>
  <c r="BB77" i="15"/>
  <c r="BB78" i="15"/>
  <c r="BB79" i="15"/>
  <c r="BB80" i="15"/>
  <c r="BB81" i="15"/>
  <c r="BB82" i="15"/>
  <c r="BB83" i="15"/>
  <c r="BB84" i="15"/>
  <c r="BB85" i="15"/>
  <c r="BB86" i="15"/>
  <c r="BB87" i="15"/>
  <c r="BB88" i="15"/>
  <c r="BB89" i="15"/>
  <c r="BA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20" i="15"/>
  <c r="BA21" i="15"/>
  <c r="BA22" i="15"/>
  <c r="BA23" i="15"/>
  <c r="BA24" i="15"/>
  <c r="BA25" i="15"/>
  <c r="BA26" i="15"/>
  <c r="BA27" i="15"/>
  <c r="BA28" i="15"/>
  <c r="BA29" i="15"/>
  <c r="BA30" i="15"/>
  <c r="BA31" i="15"/>
  <c r="BA32" i="15"/>
  <c r="BA33" i="15"/>
  <c r="BA34" i="15"/>
  <c r="BA35" i="15"/>
  <c r="BA36" i="15"/>
  <c r="BA37" i="15"/>
  <c r="BA38" i="15"/>
  <c r="BA39" i="15"/>
  <c r="BA40" i="15"/>
  <c r="BA41" i="15"/>
  <c r="BA42" i="15"/>
  <c r="BA43" i="15"/>
  <c r="BA44" i="15"/>
  <c r="BA45" i="15"/>
  <c r="BA46" i="15"/>
  <c r="BA47" i="15"/>
  <c r="BA48" i="15"/>
  <c r="BA49" i="15"/>
  <c r="BA50" i="15"/>
  <c r="BA51" i="15"/>
  <c r="BA52" i="15"/>
  <c r="BA53" i="15"/>
  <c r="BA54" i="15"/>
  <c r="BA55" i="15"/>
  <c r="BA56" i="15"/>
  <c r="BA57" i="15"/>
  <c r="BA58" i="15"/>
  <c r="BA59" i="15"/>
  <c r="BA60" i="15"/>
  <c r="BA61" i="15"/>
  <c r="BA62" i="15"/>
  <c r="BA63" i="15"/>
  <c r="BA64" i="15"/>
  <c r="BA65" i="15"/>
  <c r="BA66" i="15"/>
  <c r="BA67" i="15"/>
  <c r="BA68" i="15"/>
  <c r="BA69" i="15"/>
  <c r="BA70" i="15"/>
  <c r="BA71" i="15"/>
  <c r="BA72" i="15"/>
  <c r="BA73" i="15"/>
  <c r="BA74" i="15"/>
  <c r="BA75" i="15"/>
  <c r="BA76" i="15"/>
  <c r="BA77" i="15"/>
  <c r="BA78" i="15"/>
  <c r="BA79" i="15"/>
  <c r="BA80" i="15"/>
  <c r="BA81" i="15"/>
  <c r="BA82" i="15"/>
  <c r="BA83" i="15"/>
  <c r="BA84" i="15"/>
  <c r="BA85" i="15"/>
  <c r="BA86" i="15"/>
  <c r="BA87" i="15"/>
  <c r="BA88" i="15"/>
  <c r="BA89" i="15"/>
  <c r="AZ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Z18" i="15"/>
  <c r="AZ19" i="15"/>
  <c r="AZ20" i="15"/>
  <c r="AZ21" i="15"/>
  <c r="AZ22" i="15"/>
  <c r="AZ23" i="15"/>
  <c r="AZ24" i="15"/>
  <c r="AZ25" i="15"/>
  <c r="AZ26" i="15"/>
  <c r="AZ27" i="15"/>
  <c r="AZ28" i="15"/>
  <c r="AZ29" i="15"/>
  <c r="AZ30" i="15"/>
  <c r="AZ31" i="15"/>
  <c r="AZ32" i="15"/>
  <c r="AZ33" i="15"/>
  <c r="AZ34" i="15"/>
  <c r="AZ35" i="15"/>
  <c r="AZ36" i="15"/>
  <c r="AZ37" i="15"/>
  <c r="AZ38" i="15"/>
  <c r="AZ39" i="15"/>
  <c r="AZ40" i="15"/>
  <c r="AZ41" i="15"/>
  <c r="AZ42" i="15"/>
  <c r="AZ43" i="15"/>
  <c r="AZ44" i="15"/>
  <c r="AZ45" i="15"/>
  <c r="AZ46" i="15"/>
  <c r="AZ47" i="15"/>
  <c r="AZ48" i="15"/>
  <c r="AZ49" i="15"/>
  <c r="AZ50" i="15"/>
  <c r="AZ51" i="15"/>
  <c r="AZ52" i="15"/>
  <c r="AZ53" i="15"/>
  <c r="AZ54" i="15"/>
  <c r="AZ55" i="15"/>
  <c r="AZ56" i="15"/>
  <c r="AZ57" i="15"/>
  <c r="AZ58" i="15"/>
  <c r="AZ59" i="15"/>
  <c r="AZ60" i="15"/>
  <c r="AZ61" i="15"/>
  <c r="AZ62" i="15"/>
  <c r="AZ63" i="15"/>
  <c r="AZ64" i="15"/>
  <c r="AZ65" i="15"/>
  <c r="AZ66" i="15"/>
  <c r="AZ67" i="15"/>
  <c r="AZ68" i="15"/>
  <c r="AZ69" i="15"/>
  <c r="AZ70" i="15"/>
  <c r="AZ71" i="15"/>
  <c r="AZ72" i="15"/>
  <c r="AZ73" i="15"/>
  <c r="AZ74" i="15"/>
  <c r="AZ75" i="15"/>
  <c r="AZ76" i="15"/>
  <c r="AZ77" i="15"/>
  <c r="AZ78" i="15"/>
  <c r="AZ79" i="15"/>
  <c r="AZ80" i="15"/>
  <c r="AZ81" i="15"/>
  <c r="AZ82" i="15"/>
  <c r="AZ83" i="15"/>
  <c r="AZ84" i="15"/>
  <c r="AZ85" i="15"/>
  <c r="AZ86" i="15"/>
  <c r="AZ87" i="15"/>
  <c r="AZ88" i="15"/>
  <c r="AZ89" i="15"/>
  <c r="AY3" i="15"/>
  <c r="AY4" i="15"/>
  <c r="AY5" i="15"/>
  <c r="AY6" i="15"/>
  <c r="AY7" i="15"/>
  <c r="AY8" i="15"/>
  <c r="AY9" i="15"/>
  <c r="AY10" i="15"/>
  <c r="AY11" i="15"/>
  <c r="AY12" i="15"/>
  <c r="AY13" i="15"/>
  <c r="AY14" i="15"/>
  <c r="AY15" i="15"/>
  <c r="AY16" i="15"/>
  <c r="AY17" i="15"/>
  <c r="AY18" i="15"/>
  <c r="AY19" i="15"/>
  <c r="AY20" i="15"/>
  <c r="AY21" i="15"/>
  <c r="AY22" i="15"/>
  <c r="AY23" i="15"/>
  <c r="AY24" i="15"/>
  <c r="AY25" i="15"/>
  <c r="AY26" i="15"/>
  <c r="AY27" i="15"/>
  <c r="AY28" i="15"/>
  <c r="AY29" i="15"/>
  <c r="AY30" i="15"/>
  <c r="AY31" i="15"/>
  <c r="AY32" i="15"/>
  <c r="AY33" i="15"/>
  <c r="AY34" i="15"/>
  <c r="AY35" i="15"/>
  <c r="AY36" i="15"/>
  <c r="AY37" i="15"/>
  <c r="AY38" i="15"/>
  <c r="AY39" i="15"/>
  <c r="AY40" i="15"/>
  <c r="AY41" i="15"/>
  <c r="AY42" i="15"/>
  <c r="AY43" i="15"/>
  <c r="AY44" i="15"/>
  <c r="AY45" i="15"/>
  <c r="AY46" i="15"/>
  <c r="AY47" i="15"/>
  <c r="AY48" i="15"/>
  <c r="AY49" i="15"/>
  <c r="AY50" i="15"/>
  <c r="AY51" i="15"/>
  <c r="AY52" i="15"/>
  <c r="AY53" i="15"/>
  <c r="AY54" i="15"/>
  <c r="AY55" i="15"/>
  <c r="AY56" i="15"/>
  <c r="AY57" i="15"/>
  <c r="AY58" i="15"/>
  <c r="AY59" i="15"/>
  <c r="AY60" i="15"/>
  <c r="AY61" i="15"/>
  <c r="AY62" i="15"/>
  <c r="AY63" i="15"/>
  <c r="AY64" i="15"/>
  <c r="AY65" i="15"/>
  <c r="AY66" i="15"/>
  <c r="AY67" i="15"/>
  <c r="AY68" i="15"/>
  <c r="AY69" i="15"/>
  <c r="AY70" i="15"/>
  <c r="AY71" i="15"/>
  <c r="AY72" i="15"/>
  <c r="AY73" i="15"/>
  <c r="AY74" i="15"/>
  <c r="AY75" i="15"/>
  <c r="AY76" i="15"/>
  <c r="AY77" i="15"/>
  <c r="AY78" i="15"/>
  <c r="AY79" i="15"/>
  <c r="AY80" i="15"/>
  <c r="AY81" i="15"/>
  <c r="AY82" i="15"/>
  <c r="AY83" i="15"/>
  <c r="AY84" i="15"/>
  <c r="AY85" i="15"/>
  <c r="AY86" i="15"/>
  <c r="AY87" i="15"/>
  <c r="AY88" i="15"/>
  <c r="AY89" i="15"/>
  <c r="AQ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36" i="15"/>
  <c r="AQ37" i="15"/>
  <c r="AQ38" i="15"/>
  <c r="AQ39" i="15"/>
  <c r="AQ40" i="15"/>
  <c r="AQ41" i="15"/>
  <c r="AQ42" i="15"/>
  <c r="AQ43" i="15"/>
  <c r="AQ44" i="15"/>
  <c r="AQ45" i="15"/>
  <c r="AQ46" i="15"/>
  <c r="AQ47" i="15"/>
  <c r="AQ48" i="15"/>
  <c r="AQ49" i="15"/>
  <c r="AQ50" i="15"/>
  <c r="AQ51" i="15"/>
  <c r="AQ52" i="15"/>
  <c r="AQ53" i="15"/>
  <c r="AQ54" i="15"/>
  <c r="AQ55" i="15"/>
  <c r="AQ56" i="15"/>
  <c r="AQ57" i="15"/>
  <c r="AQ58" i="15"/>
  <c r="AQ59" i="15"/>
  <c r="AQ60" i="15"/>
  <c r="AQ61" i="15"/>
  <c r="AQ62" i="15"/>
  <c r="AQ63" i="15"/>
  <c r="AQ64" i="15"/>
  <c r="AQ65" i="15"/>
  <c r="AQ66" i="15"/>
  <c r="AQ67" i="15"/>
  <c r="AQ68" i="15"/>
  <c r="AQ69" i="15"/>
  <c r="AQ70" i="15"/>
  <c r="AQ71" i="15"/>
  <c r="AQ72" i="15"/>
  <c r="AQ73" i="15"/>
  <c r="AQ74" i="15"/>
  <c r="AQ75" i="15"/>
  <c r="AQ76" i="15"/>
  <c r="AQ77" i="15"/>
  <c r="AQ78" i="15"/>
  <c r="AQ79" i="15"/>
  <c r="AQ80" i="15"/>
  <c r="AQ81" i="15"/>
  <c r="AQ82" i="15"/>
  <c r="AQ83" i="15"/>
  <c r="AQ84" i="15"/>
  <c r="AQ85" i="15"/>
  <c r="AQ86" i="15"/>
  <c r="AQ87" i="15"/>
  <c r="AQ88" i="15"/>
  <c r="AQ89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18" i="15"/>
  <c r="AP19" i="15"/>
  <c r="AP20" i="15"/>
  <c r="AP21" i="15"/>
  <c r="AP22" i="15"/>
  <c r="AP23" i="15"/>
  <c r="AP24" i="15"/>
  <c r="AP25" i="15"/>
  <c r="AP26" i="15"/>
  <c r="AP27" i="15"/>
  <c r="AP28" i="15"/>
  <c r="AP29" i="15"/>
  <c r="AP30" i="15"/>
  <c r="AP31" i="15"/>
  <c r="AP32" i="15"/>
  <c r="AP33" i="15"/>
  <c r="AP34" i="15"/>
  <c r="AP35" i="15"/>
  <c r="AP36" i="15"/>
  <c r="AP37" i="15"/>
  <c r="AP38" i="15"/>
  <c r="AP39" i="15"/>
  <c r="AP40" i="15"/>
  <c r="AP41" i="15"/>
  <c r="AP42" i="15"/>
  <c r="AP43" i="15"/>
  <c r="AP44" i="15"/>
  <c r="AP45" i="15"/>
  <c r="AP46" i="15"/>
  <c r="AP47" i="15"/>
  <c r="AP48" i="15"/>
  <c r="AP49" i="15"/>
  <c r="AP50" i="15"/>
  <c r="AP51" i="15"/>
  <c r="AP52" i="15"/>
  <c r="AP53" i="15"/>
  <c r="AP54" i="15"/>
  <c r="AP55" i="15"/>
  <c r="AP56" i="15"/>
  <c r="AP57" i="15"/>
  <c r="AP58" i="15"/>
  <c r="AP59" i="15"/>
  <c r="AP60" i="15"/>
  <c r="AP61" i="15"/>
  <c r="AP62" i="15"/>
  <c r="AP63" i="15"/>
  <c r="AP64" i="15"/>
  <c r="AP65" i="15"/>
  <c r="AP66" i="15"/>
  <c r="AP67" i="15"/>
  <c r="AP68" i="15"/>
  <c r="AP69" i="15"/>
  <c r="AP70" i="15"/>
  <c r="AP71" i="15"/>
  <c r="AP72" i="15"/>
  <c r="AP73" i="15"/>
  <c r="AP74" i="15"/>
  <c r="AP75" i="15"/>
  <c r="AP76" i="15"/>
  <c r="AP77" i="15"/>
  <c r="AP78" i="15"/>
  <c r="AP79" i="15"/>
  <c r="AP80" i="15"/>
  <c r="AP81" i="15"/>
  <c r="AP82" i="15"/>
  <c r="AP83" i="15"/>
  <c r="AP84" i="15"/>
  <c r="AP85" i="15"/>
  <c r="AP86" i="15"/>
  <c r="AP87" i="15"/>
  <c r="AP88" i="15"/>
  <c r="AP89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L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L68" i="15"/>
  <c r="AL69" i="15"/>
  <c r="AL70" i="15"/>
  <c r="AL71" i="15"/>
  <c r="AL72" i="15"/>
  <c r="AL73" i="15"/>
  <c r="AL74" i="15"/>
  <c r="AL75" i="15"/>
  <c r="AL76" i="15"/>
  <c r="AL77" i="15"/>
  <c r="AL78" i="15"/>
  <c r="AL79" i="15"/>
  <c r="AL80" i="15"/>
  <c r="AL81" i="15"/>
  <c r="AL82" i="15"/>
  <c r="AL83" i="15"/>
  <c r="AL84" i="15"/>
  <c r="AL85" i="15"/>
  <c r="AL86" i="15"/>
  <c r="AL87" i="15"/>
  <c r="AL88" i="15"/>
  <c r="AL89" i="15"/>
  <c r="AK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K74" i="15"/>
  <c r="AK75" i="15"/>
  <c r="AK76" i="15"/>
  <c r="AK77" i="15"/>
  <c r="AK78" i="15"/>
  <c r="AK79" i="15"/>
  <c r="AK80" i="15"/>
  <c r="AK81" i="15"/>
  <c r="AK82" i="15"/>
  <c r="AK83" i="15"/>
  <c r="AK84" i="15"/>
  <c r="AK85" i="15"/>
  <c r="AK86" i="15"/>
  <c r="AK87" i="15"/>
  <c r="AK88" i="15"/>
  <c r="AK89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J81" i="15"/>
  <c r="AJ82" i="15"/>
  <c r="AJ83" i="15"/>
  <c r="AJ84" i="15"/>
  <c r="AJ85" i="15"/>
  <c r="AJ86" i="15"/>
  <c r="AJ87" i="15"/>
  <c r="AJ88" i="15"/>
  <c r="AJ89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B4" i="3"/>
  <c r="D8" i="12"/>
  <c r="B5" i="3"/>
  <c r="I8" i="13"/>
  <c r="I73" i="13"/>
  <c r="I58" i="13"/>
  <c r="R6" i="15"/>
  <c r="R3" i="15"/>
  <c r="R4" i="15"/>
  <c r="R5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B4" i="15"/>
  <c r="B29" i="15"/>
  <c r="B36" i="15"/>
  <c r="B44" i="15"/>
  <c r="B57" i="15"/>
  <c r="B70" i="15"/>
  <c r="B6" i="15"/>
  <c r="B27" i="15"/>
  <c r="B48" i="15"/>
  <c r="B75" i="15"/>
  <c r="B30" i="15"/>
  <c r="B56" i="15"/>
  <c r="B59" i="15"/>
  <c r="B62" i="15"/>
  <c r="B10" i="15"/>
  <c r="B46" i="15"/>
  <c r="B51" i="15"/>
  <c r="B55" i="15"/>
  <c r="B76" i="15"/>
  <c r="B84" i="15"/>
  <c r="B13" i="15"/>
  <c r="B33" i="15"/>
  <c r="B64" i="15"/>
  <c r="B80" i="15"/>
  <c r="A6" i="12"/>
  <c r="A7" i="12"/>
  <c r="F79" i="13"/>
  <c r="F33" i="15" s="1"/>
  <c r="F32" i="13"/>
  <c r="F27" i="15" s="1"/>
  <c r="F74" i="13"/>
  <c r="F83" i="15" s="1"/>
  <c r="T29" i="12"/>
  <c r="T7" i="12"/>
  <c r="T21" i="12"/>
  <c r="M35" i="13"/>
  <c r="T13" i="12"/>
  <c r="M42" i="13"/>
  <c r="M69" i="13"/>
  <c r="T9" i="12"/>
  <c r="M86" i="13"/>
  <c r="AE80" i="15" s="1"/>
  <c r="B33" i="7"/>
  <c r="T27" i="12"/>
  <c r="B37" i="7"/>
  <c r="T19" i="12"/>
  <c r="J47" i="13"/>
  <c r="G6" i="12"/>
  <c r="J44" i="13"/>
  <c r="G10" i="12"/>
  <c r="D8" i="5"/>
  <c r="J68" i="13"/>
  <c r="J43" i="13"/>
  <c r="G25" i="12"/>
  <c r="G27" i="12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4" i="15"/>
  <c r="G72" i="15"/>
  <c r="G71" i="15"/>
  <c r="G70" i="15"/>
  <c r="G73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3" i="15"/>
  <c r="B3" i="15"/>
  <c r="B18" i="15"/>
  <c r="B34" i="15"/>
  <c r="B35" i="15"/>
  <c r="B37" i="15"/>
  <c r="B41" i="15"/>
  <c r="B45" i="15"/>
  <c r="B47" i="15"/>
  <c r="B54" i="15"/>
  <c r="B74" i="15"/>
  <c r="B71" i="15"/>
  <c r="B73" i="15"/>
  <c r="B81" i="15"/>
  <c r="B5" i="15"/>
  <c r="B26" i="15"/>
  <c r="B31" i="15"/>
  <c r="B43" i="15"/>
  <c r="B63" i="15"/>
  <c r="B67" i="15"/>
  <c r="B69" i="15"/>
  <c r="B86" i="15"/>
  <c r="B7" i="15"/>
  <c r="B17" i="15"/>
  <c r="B22" i="15"/>
  <c r="B24" i="15"/>
  <c r="B25" i="15"/>
  <c r="B52" i="15"/>
  <c r="B82" i="15"/>
  <c r="B9" i="15"/>
  <c r="B14" i="15"/>
  <c r="B65" i="15"/>
  <c r="B79" i="15"/>
  <c r="B78" i="15"/>
  <c r="B85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4" i="15"/>
  <c r="A72" i="15"/>
  <c r="A71" i="15"/>
  <c r="A70" i="15"/>
  <c r="A73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H23" i="8"/>
  <c r="A4" i="4"/>
  <c r="A6" i="4"/>
  <c r="A5" i="4"/>
  <c r="A8" i="4"/>
  <c r="A9" i="4"/>
  <c r="A7" i="4"/>
  <c r="A12" i="4"/>
  <c r="A10" i="4"/>
  <c r="A11" i="4"/>
  <c r="A15" i="4"/>
  <c r="A13" i="4"/>
  <c r="A14" i="4"/>
  <c r="A16" i="4"/>
  <c r="A17" i="4"/>
  <c r="A18" i="4"/>
  <c r="A3" i="3"/>
  <c r="A5" i="3"/>
  <c r="A25" i="3"/>
  <c r="A13" i="3"/>
  <c r="A14" i="5"/>
  <c r="A13" i="5"/>
  <c r="A10" i="5"/>
  <c r="A9" i="5"/>
  <c r="A11" i="5"/>
  <c r="A20" i="5"/>
  <c r="A19" i="5"/>
  <c r="A18" i="5"/>
  <c r="A23" i="5"/>
  <c r="A22" i="5"/>
  <c r="A21" i="5"/>
  <c r="A27" i="5"/>
  <c r="A28" i="5"/>
  <c r="A29" i="5"/>
  <c r="A25" i="5"/>
  <c r="A26" i="5"/>
  <c r="A24" i="5"/>
  <c r="A15" i="5"/>
  <c r="A17" i="5"/>
  <c r="A16" i="5"/>
  <c r="A3" i="5"/>
  <c r="A5" i="5"/>
  <c r="A4" i="5"/>
  <c r="A6" i="5"/>
  <c r="A7" i="5"/>
  <c r="A8" i="5"/>
  <c r="A32" i="5"/>
  <c r="A30" i="5"/>
  <c r="A31" i="5"/>
  <c r="A12" i="5"/>
  <c r="G26" i="13"/>
  <c r="E81" i="15" s="1"/>
  <c r="G23" i="13"/>
  <c r="E71" i="15" s="1"/>
  <c r="B21" i="3"/>
  <c r="B29" i="3"/>
  <c r="B8" i="3"/>
  <c r="B14" i="3"/>
  <c r="B10" i="3"/>
  <c r="B15" i="3"/>
  <c r="B11" i="3"/>
  <c r="B7" i="3"/>
  <c r="B12" i="3"/>
  <c r="B17" i="3"/>
  <c r="O8" i="17"/>
  <c r="I8" i="17"/>
  <c r="W8" i="17"/>
  <c r="G12" i="17"/>
  <c r="G8" i="17"/>
  <c r="K10" i="17"/>
  <c r="M11" i="17"/>
  <c r="Q13" i="17"/>
  <c r="M15" i="17"/>
  <c r="S10" i="17"/>
  <c r="G15" i="17"/>
  <c r="G11" i="17"/>
  <c r="K13" i="17"/>
  <c r="K9" i="17"/>
  <c r="Q8" i="17"/>
  <c r="M10" i="17"/>
  <c r="Q16" i="17"/>
  <c r="S9" i="17"/>
  <c r="S13" i="17"/>
  <c r="G10" i="17"/>
  <c r="K8" i="17"/>
  <c r="M9" i="17"/>
  <c r="M13" i="17"/>
  <c r="O14" i="17"/>
  <c r="S8" i="17"/>
  <c r="W10" i="17"/>
  <c r="S12" i="17"/>
  <c r="G13" i="17"/>
  <c r="G9" i="17"/>
  <c r="M12" i="17"/>
  <c r="S11" i="17"/>
  <c r="I6" i="17"/>
  <c r="M7" i="17"/>
  <c r="N7" i="17" s="1"/>
  <c r="M4" i="17"/>
  <c r="S7" i="17"/>
  <c r="G6" i="17"/>
  <c r="U4" i="17"/>
  <c r="G5" i="17"/>
  <c r="W4" i="17"/>
  <c r="S6" i="17"/>
  <c r="M5" i="17"/>
  <c r="G4" i="17"/>
  <c r="O4" i="17"/>
  <c r="M6" i="17"/>
  <c r="S5" i="17"/>
  <c r="U6" i="17"/>
  <c r="B6" i="7"/>
  <c r="G7" i="17"/>
  <c r="S4" i="17"/>
  <c r="L30" i="13"/>
  <c r="L29" i="13"/>
  <c r="L36" i="13"/>
  <c r="F16" i="13"/>
  <c r="F44" i="15" s="1"/>
  <c r="L14" i="13"/>
  <c r="I33" i="13"/>
  <c r="T31" i="15" s="1"/>
  <c r="L47" i="13"/>
  <c r="L82" i="13"/>
  <c r="L39" i="13"/>
  <c r="L28" i="13"/>
  <c r="L26" i="13"/>
  <c r="L17" i="13"/>
  <c r="F72" i="13"/>
  <c r="F77" i="15" s="1"/>
  <c r="F73" i="13"/>
  <c r="F79" i="15" s="1"/>
  <c r="S6" i="4"/>
  <c r="M14" i="4"/>
  <c r="B30" i="3"/>
  <c r="B26" i="3"/>
  <c r="B22" i="3"/>
  <c r="B18" i="3"/>
  <c r="B6" i="3"/>
  <c r="G76" i="13"/>
  <c r="E13" i="15" s="1"/>
  <c r="K89" i="13"/>
  <c r="K34" i="13"/>
  <c r="S5" i="4"/>
  <c r="G5" i="4"/>
  <c r="M5" i="4"/>
  <c r="S13" i="4"/>
  <c r="G13" i="4"/>
  <c r="M13" i="4"/>
  <c r="S17" i="4"/>
  <c r="G17" i="4"/>
  <c r="M17" i="4"/>
  <c r="G16" i="4"/>
  <c r="B20" i="3"/>
  <c r="K10" i="13"/>
  <c r="W39" i="15" s="1"/>
  <c r="M12" i="4"/>
  <c r="L8" i="13"/>
  <c r="K82" i="13"/>
  <c r="S7" i="4"/>
  <c r="S15" i="4"/>
  <c r="D7" i="5"/>
  <c r="B31" i="3"/>
  <c r="B27" i="3"/>
  <c r="B23" i="3"/>
  <c r="B19" i="3"/>
  <c r="L77" i="13"/>
  <c r="L6" i="13"/>
  <c r="L61" i="13"/>
  <c r="AN14" i="15" s="1"/>
  <c r="L75" i="13"/>
  <c r="L11" i="13"/>
  <c r="L10" i="13"/>
  <c r="A4" i="18"/>
  <c r="A5" i="18"/>
  <c r="A7" i="18"/>
  <c r="A9" i="18"/>
  <c r="A11" i="18"/>
  <c r="A10" i="18"/>
  <c r="A6" i="18"/>
  <c r="A8" i="18"/>
  <c r="A9" i="3"/>
  <c r="A31" i="3"/>
  <c r="A23" i="3"/>
  <c r="A21" i="3"/>
  <c r="A22" i="3"/>
  <c r="A32" i="3"/>
  <c r="A30" i="3"/>
  <c r="A6" i="3"/>
  <c r="A27" i="3"/>
  <c r="A24" i="3"/>
  <c r="A11" i="3"/>
  <c r="A29" i="3"/>
  <c r="A18" i="3"/>
  <c r="A12" i="3"/>
  <c r="A33" i="3"/>
  <c r="A14" i="3"/>
  <c r="A28" i="3"/>
  <c r="A4" i="3"/>
  <c r="A17" i="3"/>
  <c r="A15" i="3"/>
  <c r="A8" i="3"/>
  <c r="A7" i="3"/>
  <c r="A20" i="3"/>
  <c r="A16" i="3"/>
  <c r="A19" i="3"/>
  <c r="A10" i="3"/>
  <c r="J67" i="13"/>
  <c r="L34" i="13"/>
  <c r="J33" i="13"/>
  <c r="AB31" i="15" s="1"/>
  <c r="L16" i="13"/>
  <c r="L68" i="13"/>
  <c r="AN61" i="15" s="1"/>
  <c r="L84" i="13"/>
  <c r="AN68" i="15" s="1"/>
  <c r="K44" i="13"/>
  <c r="K79" i="13"/>
  <c r="L5" i="13"/>
  <c r="L69" i="13"/>
  <c r="G40" i="13"/>
  <c r="G10" i="13"/>
  <c r="E39" i="15" s="1"/>
  <c r="G69" i="13"/>
  <c r="E65" i="15" s="1"/>
  <c r="G86" i="13"/>
  <c r="E80" i="15" s="1"/>
  <c r="G56" i="13"/>
  <c r="G18" i="13"/>
  <c r="G70" i="13"/>
  <c r="G9" i="13"/>
  <c r="G73" i="13"/>
  <c r="G21" i="13"/>
  <c r="E74" i="15" s="1"/>
  <c r="G31" i="13"/>
  <c r="E26" i="15" s="1"/>
  <c r="G38" i="13"/>
  <c r="E67" i="15" s="1"/>
  <c r="G68" i="13"/>
  <c r="E61" i="15" s="1"/>
  <c r="G8" i="13"/>
  <c r="E29" i="15" s="1"/>
  <c r="G13" i="13"/>
  <c r="E37" i="15" s="1"/>
  <c r="G16" i="13"/>
  <c r="E44" i="15" s="1"/>
  <c r="G32" i="13"/>
  <c r="G81" i="13"/>
  <c r="E58" i="15" s="1"/>
  <c r="G48" i="13"/>
  <c r="N48" i="13" s="1"/>
  <c r="G19" i="13"/>
  <c r="E54" i="15" s="1"/>
  <c r="G60" i="13"/>
  <c r="E10" i="15" s="1"/>
  <c r="G25" i="13"/>
  <c r="E73" i="15" s="1"/>
  <c r="G64" i="13"/>
  <c r="G53" i="13"/>
  <c r="E52" i="15" s="1"/>
  <c r="G51" i="13"/>
  <c r="E30" i="15" s="1"/>
  <c r="G77" i="13"/>
  <c r="G22" i="13"/>
  <c r="E72" i="15" s="1"/>
  <c r="G67" i="13"/>
  <c r="E55" i="15" s="1"/>
  <c r="G3" i="13"/>
  <c r="E3" i="15" s="1"/>
  <c r="G42" i="13"/>
  <c r="E87" i="15" s="1"/>
  <c r="G58" i="13"/>
  <c r="N58" i="13" s="1"/>
  <c r="G85" i="13"/>
  <c r="G34" i="13"/>
  <c r="G89" i="13"/>
  <c r="G5" i="13"/>
  <c r="E12" i="15" s="1"/>
  <c r="G46" i="13"/>
  <c r="G75" i="13"/>
  <c r="E84" i="15" s="1"/>
  <c r="G84" i="13"/>
  <c r="G6" i="13"/>
  <c r="E16" i="15" s="1"/>
  <c r="G36" i="13"/>
  <c r="E48" i="15" s="1"/>
  <c r="G57" i="13"/>
  <c r="E82" i="15" s="1"/>
  <c r="G49" i="13"/>
  <c r="G83" i="13"/>
  <c r="G11" i="13"/>
  <c r="E35" i="15" s="1"/>
  <c r="G61" i="13"/>
  <c r="G82" i="13"/>
  <c r="G63" i="13"/>
  <c r="E46" i="15" s="1"/>
  <c r="G17" i="13"/>
  <c r="E45" i="15" s="1"/>
  <c r="G72" i="13"/>
  <c r="G44" i="13"/>
  <c r="E11" i="15" s="1"/>
  <c r="G78" i="13"/>
  <c r="G35" i="13"/>
  <c r="G55" i="13"/>
  <c r="E59" i="15" s="1"/>
  <c r="G30" i="13"/>
  <c r="E23" i="15" s="1"/>
  <c r="G12" i="13"/>
  <c r="G43" i="13"/>
  <c r="E7" i="15" s="1"/>
  <c r="G88" i="13"/>
  <c r="G28" i="13"/>
  <c r="E6" i="15" s="1"/>
  <c r="G47" i="13"/>
  <c r="G62" i="13"/>
  <c r="K87" i="13"/>
  <c r="W72" i="15" s="1"/>
  <c r="K88" i="13"/>
  <c r="W88" i="15" s="1"/>
  <c r="K45" i="13"/>
  <c r="L65" i="13"/>
  <c r="AN51" i="15" s="1"/>
  <c r="L80" i="13"/>
  <c r="K76" i="13"/>
  <c r="L73" i="13"/>
  <c r="AN43" i="15" s="1"/>
  <c r="L78" i="13"/>
  <c r="AN20" i="15"/>
  <c r="L62" i="13"/>
  <c r="L60" i="13"/>
  <c r="L83" i="13"/>
  <c r="AN64" i="15" s="1"/>
  <c r="L70" i="13"/>
  <c r="L64" i="13"/>
  <c r="L79" i="13"/>
  <c r="AN12" i="15" s="1"/>
  <c r="E63" i="15"/>
  <c r="L42" i="13"/>
  <c r="AN19" i="15" s="1"/>
  <c r="L3" i="13"/>
  <c r="AN3" i="15" s="1"/>
  <c r="J9" i="13"/>
  <c r="L7" i="13"/>
  <c r="AN18" i="15" s="1"/>
  <c r="L66" i="13"/>
  <c r="L71" i="13"/>
  <c r="L81" i="13"/>
  <c r="L74" i="13"/>
  <c r="L12" i="13"/>
  <c r="AN16" i="15" s="1"/>
  <c r="L85" i="13"/>
  <c r="L89" i="13"/>
  <c r="L86" i="13"/>
  <c r="AN80" i="15" s="1"/>
  <c r="L40" i="13"/>
  <c r="K81" i="13"/>
  <c r="K74" i="13"/>
  <c r="K85" i="13"/>
  <c r="I40" i="13"/>
  <c r="T75" i="15" s="1"/>
  <c r="I70" i="13"/>
  <c r="I78" i="13"/>
  <c r="G15" i="13"/>
  <c r="E41" i="15" s="1"/>
  <c r="G39" i="13"/>
  <c r="E69" i="15" s="1"/>
  <c r="G65" i="13"/>
  <c r="E51" i="15"/>
  <c r="G27" i="13"/>
  <c r="E5" i="15" s="1"/>
  <c r="G14" i="13"/>
  <c r="E40" i="15" s="1"/>
  <c r="G74" i="13"/>
  <c r="G7" i="13"/>
  <c r="G52" i="13"/>
  <c r="G87" i="13"/>
  <c r="E85" i="15" s="1"/>
  <c r="G41" i="13"/>
  <c r="E86" i="15" s="1"/>
  <c r="G80" i="13"/>
  <c r="G4" i="13"/>
  <c r="E4" i="15" s="1"/>
  <c r="G29" i="13"/>
  <c r="E19" i="15" s="1"/>
  <c r="G59" i="13"/>
  <c r="E9" i="15" s="1"/>
  <c r="F39" i="13"/>
  <c r="F69" i="15" s="1"/>
  <c r="F42" i="13"/>
  <c r="F87" i="15" s="1"/>
  <c r="F38" i="13"/>
  <c r="F67" i="15" s="1"/>
  <c r="F87" i="13"/>
  <c r="F85" i="15" s="1"/>
  <c r="L43" i="13"/>
  <c r="AN76" i="15" s="1"/>
  <c r="L56" i="13"/>
  <c r="AN62" i="15" s="1"/>
  <c r="L67" i="13"/>
  <c r="L87" i="13"/>
  <c r="L58" i="13"/>
  <c r="L51" i="13"/>
  <c r="L63" i="13"/>
  <c r="AN45" i="15" s="1"/>
  <c r="I20" i="13"/>
  <c r="I30" i="13"/>
  <c r="I11" i="13"/>
  <c r="I82" i="13"/>
  <c r="I45" i="13"/>
  <c r="K65" i="13"/>
  <c r="K40" i="13"/>
  <c r="K32" i="13"/>
  <c r="K53" i="13"/>
  <c r="K66" i="13"/>
  <c r="K14" i="13"/>
  <c r="W40" i="15" s="1"/>
  <c r="K60" i="13"/>
  <c r="K33" i="13"/>
  <c r="W31" i="15" s="1"/>
  <c r="K26" i="13"/>
  <c r="L53" i="13"/>
  <c r="L50" i="13"/>
  <c r="AN60" i="15" s="1"/>
  <c r="AN28" i="15"/>
  <c r="L57" i="13"/>
  <c r="L44" i="13"/>
  <c r="AN49" i="15" s="1"/>
  <c r="L49" i="13"/>
  <c r="AN25" i="15" s="1"/>
  <c r="L9" i="13"/>
  <c r="AN53" i="15" s="1"/>
  <c r="L55" i="13"/>
  <c r="AN59" i="15"/>
  <c r="L54" i="13"/>
  <c r="AN56" i="15"/>
  <c r="L45" i="13"/>
  <c r="AN67" i="15" s="1"/>
  <c r="AN17" i="15"/>
  <c r="L35" i="13"/>
  <c r="K17" i="13"/>
  <c r="K48" i="13"/>
  <c r="W24" i="15" s="1"/>
  <c r="K6" i="13"/>
  <c r="L15" i="13"/>
  <c r="L19" i="13"/>
  <c r="AN54" i="15" s="1"/>
  <c r="K38" i="13"/>
  <c r="W67" i="15" s="1"/>
  <c r="L41" i="13"/>
  <c r="K56" i="13"/>
  <c r="W62" i="15" s="1"/>
  <c r="K30" i="13"/>
  <c r="W23" i="15" s="1"/>
  <c r="D5" i="12"/>
  <c r="L52" i="13"/>
  <c r="U8" i="15"/>
  <c r="M71" i="13"/>
  <c r="AE76" i="15" s="1"/>
  <c r="M31" i="13"/>
  <c r="G5" i="12"/>
  <c r="AN75" i="15"/>
  <c r="AN86" i="15"/>
  <c r="AN87" i="15"/>
  <c r="M64" i="13"/>
  <c r="M3" i="13"/>
  <c r="AE3" i="15" s="1"/>
  <c r="J54" i="13"/>
  <c r="F76" i="13"/>
  <c r="F13" i="15" s="1"/>
  <c r="F58" i="13"/>
  <c r="F8" i="15" s="1"/>
  <c r="L32" i="13"/>
  <c r="L22" i="13"/>
  <c r="L59" i="13"/>
  <c r="AN9" i="15" s="1"/>
  <c r="L24" i="13"/>
  <c r="AN70" i="15" s="1"/>
  <c r="F85" i="13"/>
  <c r="F78" i="15" s="1"/>
  <c r="L20" i="13"/>
  <c r="AN42" i="15" s="1"/>
  <c r="L21" i="13"/>
  <c r="AN39" i="15" s="1"/>
  <c r="F83" i="13"/>
  <c r="F64" i="15" s="1"/>
  <c r="M20" i="13"/>
  <c r="J39" i="13"/>
  <c r="F89" i="13"/>
  <c r="F89" i="15" s="1"/>
  <c r="M73" i="13"/>
  <c r="M15" i="13"/>
  <c r="B7" i="7"/>
  <c r="L13" i="13"/>
  <c r="AN78" i="15" s="1"/>
  <c r="L23" i="13"/>
  <c r="AN31" i="15" s="1"/>
  <c r="S15" i="17"/>
  <c r="L25" i="13"/>
  <c r="AN73" i="15" s="1"/>
  <c r="F70" i="13"/>
  <c r="F66" i="15" s="1"/>
  <c r="F8" i="13"/>
  <c r="F29" i="15" s="1"/>
  <c r="B21" i="7"/>
  <c r="F19" i="13"/>
  <c r="F54" i="15" s="1"/>
  <c r="F10" i="13"/>
  <c r="F39" i="15" s="1"/>
  <c r="F9" i="13"/>
  <c r="F34" i="15" s="1"/>
  <c r="L88" i="13"/>
  <c r="F25" i="13"/>
  <c r="F73" i="15" s="1"/>
  <c r="F3" i="13"/>
  <c r="F3" i="15" s="1"/>
  <c r="F4" i="13"/>
  <c r="F4" i="15" s="1"/>
  <c r="BB1" i="15"/>
  <c r="Z5" i="12"/>
  <c r="E7" i="4"/>
  <c r="J21" i="13"/>
  <c r="Z7" i="12"/>
  <c r="U12" i="15"/>
  <c r="J72" i="13"/>
  <c r="AB77" i="15" s="1"/>
  <c r="D5" i="5"/>
  <c r="C7" i="18"/>
  <c r="N77" i="13"/>
  <c r="N57" i="13"/>
  <c r="AH82" i="15" s="1"/>
  <c r="N75" i="13"/>
  <c r="AH84" i="15" s="1"/>
  <c r="G11" i="18"/>
  <c r="Y11" i="18"/>
  <c r="Y6" i="18"/>
  <c r="U11" i="18"/>
  <c r="J35" i="13"/>
  <c r="F62" i="13"/>
  <c r="F42" i="15" s="1"/>
  <c r="F11" i="13"/>
  <c r="F35" i="15" s="1"/>
  <c r="F65" i="13"/>
  <c r="F51" i="15" s="1"/>
  <c r="M16" i="13"/>
  <c r="F64" i="13"/>
  <c r="F50" i="15" s="1"/>
  <c r="F63" i="13"/>
  <c r="F46" i="15" s="1"/>
  <c r="F35" i="13"/>
  <c r="F43" i="15" s="1"/>
  <c r="F30" i="13"/>
  <c r="F23" i="15" s="1"/>
  <c r="J88" i="13"/>
  <c r="F18" i="13"/>
  <c r="F47" i="15" s="1"/>
  <c r="F17" i="13"/>
  <c r="F45" i="15" s="1"/>
  <c r="F59" i="13"/>
  <c r="F9" i="15" s="1"/>
  <c r="F26" i="13"/>
  <c r="F81" i="15" s="1"/>
  <c r="F33" i="13"/>
  <c r="F31" i="15" s="1"/>
  <c r="F28" i="13"/>
  <c r="F6" i="15" s="1"/>
  <c r="J36" i="13"/>
  <c r="J30" i="13"/>
  <c r="AB23" i="15" s="1"/>
  <c r="F23" i="13"/>
  <c r="F71" i="15" s="1"/>
  <c r="F7" i="13"/>
  <c r="F18" i="15" s="1"/>
  <c r="M47" i="13"/>
  <c r="AE22" i="15" s="1"/>
  <c r="F61" i="13"/>
  <c r="F14" i="15" s="1"/>
  <c r="F14" i="13"/>
  <c r="F40" i="15" s="1"/>
  <c r="F60" i="13"/>
  <c r="F10" i="15" s="1"/>
  <c r="F13" i="13"/>
  <c r="F37" i="15" s="1"/>
  <c r="F20" i="13"/>
  <c r="F57" i="15" s="1"/>
  <c r="F12" i="13"/>
  <c r="F36" i="15" s="1"/>
  <c r="F24" i="13"/>
  <c r="F70" i="15" s="1"/>
  <c r="B24" i="7"/>
  <c r="M55" i="13"/>
  <c r="M32" i="13"/>
  <c r="AE27" i="15" s="1"/>
  <c r="J79" i="13"/>
  <c r="AB33" i="15" s="1"/>
  <c r="F66" i="13"/>
  <c r="F53" i="15" s="1"/>
  <c r="F15" i="13"/>
  <c r="F41" i="15" s="1"/>
  <c r="F69" i="13"/>
  <c r="F65" i="15" s="1"/>
  <c r="F22" i="13"/>
  <c r="F72" i="15" s="1"/>
  <c r="F6" i="13"/>
  <c r="F16" i="15" s="1"/>
  <c r="F68" i="13"/>
  <c r="F61" i="15" s="1"/>
  <c r="F21" i="13"/>
  <c r="F74" i="15" s="1"/>
  <c r="F5" i="13"/>
  <c r="F12" i="15" s="1"/>
  <c r="F75" i="13"/>
  <c r="F84" i="15" s="1"/>
  <c r="F71" i="13"/>
  <c r="F76" i="15" s="1"/>
  <c r="F67" i="13"/>
  <c r="F55" i="15" s="1"/>
  <c r="I4" i="18"/>
  <c r="K7" i="18"/>
  <c r="Y4" i="18"/>
  <c r="F78" i="13"/>
  <c r="F20" i="15" s="1"/>
  <c r="E78" i="15"/>
  <c r="B35" i="7"/>
  <c r="M81" i="13"/>
  <c r="B3" i="7"/>
  <c r="A3" i="7" s="1"/>
  <c r="M87" i="13"/>
  <c r="L27" i="13"/>
  <c r="AN5" i="15" s="1"/>
  <c r="E7" i="18"/>
  <c r="S6" i="18"/>
  <c r="E10" i="18"/>
  <c r="S8" i="18"/>
  <c r="S5" i="18"/>
  <c r="E15" i="15"/>
  <c r="E77" i="15"/>
  <c r="E24" i="15"/>
  <c r="D16" i="5"/>
  <c r="G19" i="12"/>
  <c r="J48" i="13"/>
  <c r="J12" i="13"/>
  <c r="J75" i="13"/>
  <c r="G15" i="12"/>
  <c r="J28" i="13"/>
  <c r="AB6" i="15" s="1"/>
  <c r="G7" i="12"/>
  <c r="M65" i="13"/>
  <c r="G29" i="12"/>
  <c r="J83" i="13"/>
  <c r="G18" i="12"/>
  <c r="J49" i="13"/>
  <c r="AB25" i="15" s="1"/>
  <c r="G14" i="12"/>
  <c r="J3" i="13"/>
  <c r="AB3" i="15" s="1"/>
  <c r="J57" i="13"/>
  <c r="AB82" i="15" s="1"/>
  <c r="G11" i="12"/>
  <c r="T18" i="12"/>
  <c r="M83" i="13"/>
  <c r="AE64" i="15" s="1"/>
  <c r="T17" i="12"/>
  <c r="E27" i="15"/>
  <c r="G32" i="12"/>
  <c r="J4" i="13"/>
  <c r="J29" i="13"/>
  <c r="J16" i="13"/>
  <c r="AB44" i="15" s="1"/>
  <c r="G21" i="12"/>
  <c r="D17" i="5"/>
  <c r="J81" i="13"/>
  <c r="AB58" i="15" s="1"/>
  <c r="G13" i="12"/>
  <c r="J65" i="13"/>
  <c r="AB51" i="15" s="1"/>
  <c r="J46" i="13"/>
  <c r="J31" i="13"/>
  <c r="AB22" i="15" s="1"/>
  <c r="J13" i="13"/>
  <c r="AB37" i="15" s="1"/>
  <c r="I7" i="13"/>
  <c r="T74" i="15" s="1"/>
  <c r="I77" i="13"/>
  <c r="I66" i="13"/>
  <c r="I18" i="13"/>
  <c r="I6" i="13"/>
  <c r="I76" i="13"/>
  <c r="I31" i="13"/>
  <c r="I46" i="13"/>
  <c r="I69" i="13"/>
  <c r="I41" i="13"/>
  <c r="I16" i="13"/>
  <c r="I68" i="13"/>
  <c r="T23" i="15" s="1"/>
  <c r="I13" i="13"/>
  <c r="T37" i="15" s="1"/>
  <c r="I49" i="13"/>
  <c r="I27" i="13"/>
  <c r="T5" i="15" s="1"/>
  <c r="J60" i="13"/>
  <c r="J14" i="13"/>
  <c r="AB40" i="15" s="1"/>
  <c r="J64" i="13"/>
  <c r="J62" i="13"/>
  <c r="AB42" i="15" s="1"/>
  <c r="E9" i="4"/>
  <c r="U17" i="4"/>
  <c r="Q16" i="4"/>
  <c r="Q12" i="4"/>
  <c r="Q8" i="4"/>
  <c r="Q4" i="4"/>
  <c r="D32" i="12"/>
  <c r="D28" i="12"/>
  <c r="D24" i="12"/>
  <c r="D20" i="12"/>
  <c r="D16" i="12"/>
  <c r="D12" i="12"/>
  <c r="G23" i="12"/>
  <c r="J14" i="12"/>
  <c r="J10" i="12"/>
  <c r="J6" i="12"/>
  <c r="L15" i="12"/>
  <c r="N14" i="12"/>
  <c r="N6" i="12"/>
  <c r="T25" i="12"/>
  <c r="I72" i="13"/>
  <c r="T79" i="15" s="1"/>
  <c r="I59" i="13"/>
  <c r="I15" i="13"/>
  <c r="T71" i="15" s="1"/>
  <c r="I19" i="13"/>
  <c r="T54" i="15" s="1"/>
  <c r="I84" i="13"/>
  <c r="I79" i="13"/>
  <c r="I75" i="13"/>
  <c r="I28" i="13"/>
  <c r="T6" i="15" s="1"/>
  <c r="I47" i="13"/>
  <c r="T22" i="15" s="1"/>
  <c r="I5" i="13"/>
  <c r="I85" i="13"/>
  <c r="T78" i="15" s="1"/>
  <c r="I62" i="13"/>
  <c r="T42" i="15" s="1"/>
  <c r="I57" i="13"/>
  <c r="E16" i="4"/>
  <c r="E12" i="4"/>
  <c r="E8" i="4"/>
  <c r="U12" i="4"/>
  <c r="U8" i="4"/>
  <c r="D31" i="12"/>
  <c r="D19" i="12"/>
  <c r="D15" i="12"/>
  <c r="D7" i="12"/>
  <c r="G20" i="12"/>
  <c r="J17" i="12"/>
  <c r="J9" i="12"/>
  <c r="L10" i="12"/>
  <c r="Q49" i="12"/>
  <c r="Q41" i="12"/>
  <c r="Q37" i="12"/>
  <c r="Q29" i="12"/>
  <c r="Q25" i="12"/>
  <c r="Q17" i="12"/>
  <c r="Q13" i="12"/>
  <c r="Q5" i="12"/>
  <c r="I88" i="13"/>
  <c r="T88" i="15" s="1"/>
  <c r="I34" i="13"/>
  <c r="I12" i="13"/>
  <c r="T16" i="15" s="1"/>
  <c r="I67" i="13"/>
  <c r="T29" i="15" s="1"/>
  <c r="I54" i="13"/>
  <c r="I3" i="13"/>
  <c r="T3" i="15" s="1"/>
  <c r="I89" i="13"/>
  <c r="T89" i="15" s="1"/>
  <c r="I18" i="4"/>
  <c r="I14" i="4"/>
  <c r="I10" i="4"/>
  <c r="I6" i="4"/>
  <c r="U7" i="4"/>
  <c r="Q6" i="4"/>
  <c r="D34" i="12"/>
  <c r="D18" i="12"/>
  <c r="D14" i="12"/>
  <c r="D10" i="12"/>
  <c r="G9" i="12"/>
  <c r="J16" i="12"/>
  <c r="J12" i="12"/>
  <c r="J8" i="12"/>
  <c r="Q20" i="12"/>
  <c r="Q16" i="12"/>
  <c r="Q8" i="12"/>
  <c r="T31" i="12"/>
  <c r="I50" i="13"/>
  <c r="I53" i="13"/>
  <c r="I87" i="13"/>
  <c r="T72" i="15" s="1"/>
  <c r="I65" i="13"/>
  <c r="T51" i="15" s="1"/>
  <c r="I52" i="13"/>
  <c r="T57" i="15" s="1"/>
  <c r="I39" i="13"/>
  <c r="T61" i="15" s="1"/>
  <c r="I29" i="13"/>
  <c r="I81" i="13"/>
  <c r="T58" i="15" s="1"/>
  <c r="I35" i="13"/>
  <c r="T66" i="15" s="1"/>
  <c r="I56" i="13"/>
  <c r="T62" i="15" s="1"/>
  <c r="I10" i="13"/>
  <c r="T25" i="15" s="1"/>
  <c r="I26" i="13"/>
  <c r="I60" i="13"/>
  <c r="T10" i="15" s="1"/>
  <c r="I38" i="13"/>
  <c r="I64" i="13"/>
  <c r="T36" i="15" s="1"/>
  <c r="B3" i="3"/>
  <c r="I9" i="13"/>
  <c r="T34" i="15"/>
  <c r="I63" i="13"/>
  <c r="T46" i="15" s="1"/>
  <c r="I44" i="13"/>
  <c r="I14" i="13"/>
  <c r="I32" i="13"/>
  <c r="T11" i="15" s="1"/>
  <c r="I55" i="13"/>
  <c r="E14" i="4"/>
  <c r="E6" i="4"/>
  <c r="D33" i="12"/>
  <c r="D29" i="12"/>
  <c r="D25" i="12"/>
  <c r="D21" i="12"/>
  <c r="D17" i="12"/>
  <c r="D13" i="12"/>
  <c r="D9" i="12"/>
  <c r="J11" i="12"/>
  <c r="J7" i="12"/>
  <c r="N11" i="12"/>
  <c r="T26" i="12"/>
  <c r="T22" i="12"/>
  <c r="T10" i="12"/>
  <c r="E88" i="15"/>
  <c r="D4" i="5"/>
  <c r="B12" i="7"/>
  <c r="M84" i="13"/>
  <c r="J86" i="13"/>
  <c r="AB80" i="15" s="1"/>
  <c r="M41" i="13"/>
  <c r="D24" i="5"/>
  <c r="J52" i="13"/>
  <c r="B42" i="7"/>
  <c r="M63" i="13"/>
  <c r="M54" i="13"/>
  <c r="B15" i="7"/>
  <c r="W30" i="12"/>
  <c r="G9" i="18"/>
  <c r="W18" i="12"/>
  <c r="F88" i="13"/>
  <c r="F88" i="15" s="1"/>
  <c r="F81" i="13"/>
  <c r="F58" i="15" s="1"/>
  <c r="F82" i="13"/>
  <c r="F60" i="15" s="1"/>
  <c r="J70" i="13"/>
  <c r="AB38" i="15" s="1"/>
  <c r="J32" i="13"/>
  <c r="AB11" i="15" s="1"/>
  <c r="J11" i="13"/>
  <c r="AB35" i="15" s="1"/>
  <c r="W15" i="12"/>
  <c r="J63" i="13"/>
  <c r="U5" i="18"/>
  <c r="M38" i="13"/>
  <c r="D21" i="5"/>
  <c r="B26" i="7"/>
  <c r="M60" i="13"/>
  <c r="W22" i="12"/>
  <c r="W14" i="12"/>
  <c r="W6" i="18"/>
  <c r="G6" i="18"/>
  <c r="F77" i="13"/>
  <c r="F15" i="15" s="1"/>
  <c r="F84" i="13"/>
  <c r="F68" i="15" s="1"/>
  <c r="J85" i="13"/>
  <c r="AB78" i="15" s="1"/>
  <c r="E32" i="15"/>
  <c r="O7" i="18"/>
  <c r="W10" i="18"/>
  <c r="B30" i="7"/>
  <c r="B27" i="7"/>
  <c r="S10" i="18"/>
  <c r="W32" i="12"/>
  <c r="I10" i="18"/>
  <c r="Q8" i="18"/>
  <c r="Y8" i="18"/>
  <c r="W21" i="12"/>
  <c r="M57" i="13"/>
  <c r="J55" i="13"/>
  <c r="W10" i="12"/>
  <c r="O5" i="18"/>
  <c r="E79" i="15"/>
  <c r="E43" i="15"/>
  <c r="M82" i="13"/>
  <c r="M62" i="13"/>
  <c r="F80" i="13"/>
  <c r="F49" i="15" s="1"/>
  <c r="F86" i="13"/>
  <c r="F80" i="15" s="1"/>
  <c r="J38" i="13"/>
  <c r="AB67" i="15" s="1"/>
  <c r="E75" i="15"/>
  <c r="U6" i="18"/>
  <c r="M48" i="13"/>
  <c r="G10" i="18"/>
  <c r="D18" i="5"/>
  <c r="B16" i="7"/>
  <c r="M33" i="13"/>
  <c r="AE31" i="15" s="1"/>
  <c r="B5" i="7"/>
  <c r="M30" i="13"/>
  <c r="W35" i="12"/>
  <c r="D10" i="5"/>
  <c r="B31" i="7"/>
  <c r="B23" i="7"/>
  <c r="W11" i="18"/>
  <c r="O11" i="18"/>
  <c r="W7" i="12"/>
  <c r="E34" i="15"/>
  <c r="E14" i="15"/>
  <c r="E25" i="15"/>
  <c r="E21" i="15"/>
  <c r="E89" i="15"/>
  <c r="E8" i="15"/>
  <c r="D27" i="5"/>
  <c r="D15" i="5"/>
  <c r="E49" i="15"/>
  <c r="M85" i="13"/>
  <c r="AE78" i="15" s="1"/>
  <c r="D22" i="5"/>
  <c r="J71" i="13"/>
  <c r="AB76" i="15" s="1"/>
  <c r="D3" i="5"/>
  <c r="J5" i="13"/>
  <c r="J45" i="13"/>
  <c r="AB17" i="15" s="1"/>
  <c r="G8" i="18"/>
  <c r="W9" i="18"/>
  <c r="E42" i="15"/>
  <c r="D14" i="5"/>
  <c r="B40" i="7"/>
  <c r="B11" i="7"/>
  <c r="T82" i="15"/>
  <c r="T85" i="15"/>
  <c r="O10" i="18" l="1"/>
  <c r="W31" i="12"/>
  <c r="W27" i="12"/>
  <c r="O9" i="18"/>
  <c r="W23" i="12"/>
  <c r="O8" i="18"/>
  <c r="W8" i="18"/>
  <c r="W7" i="18"/>
  <c r="W19" i="12"/>
  <c r="G7" i="18"/>
  <c r="G5" i="18"/>
  <c r="W11" i="12"/>
  <c r="W5" i="18"/>
  <c r="O4" i="18"/>
  <c r="W4" i="18"/>
  <c r="G4" i="18"/>
  <c r="T70" i="15"/>
  <c r="T68" i="15"/>
  <c r="E11" i="18"/>
  <c r="W34" i="12"/>
  <c r="M11" i="18"/>
  <c r="M10" i="18"/>
  <c r="U10" i="18"/>
  <c r="U9" i="18"/>
  <c r="E9" i="18"/>
  <c r="W26" i="12"/>
  <c r="M9" i="18"/>
  <c r="M8" i="18"/>
  <c r="U8" i="18"/>
  <c r="E8" i="18"/>
  <c r="M6" i="18"/>
  <c r="E6" i="18"/>
  <c r="M5" i="18"/>
  <c r="E5" i="18"/>
  <c r="O6" i="18"/>
  <c r="S4" i="18"/>
  <c r="N21" i="13"/>
  <c r="C4" i="18"/>
  <c r="W5" i="12"/>
  <c r="L4" i="18" s="1"/>
  <c r="N25" i="13"/>
  <c r="N23" i="13"/>
  <c r="AH71" i="15" s="1"/>
  <c r="N22" i="13"/>
  <c r="AH72" i="15" s="1"/>
  <c r="N24" i="13"/>
  <c r="AH70" i="15" s="1"/>
  <c r="W33" i="12"/>
  <c r="S11" i="18"/>
  <c r="C11" i="18"/>
  <c r="N3" i="13"/>
  <c r="AH3" i="15" s="1"/>
  <c r="N17" i="13"/>
  <c r="AH45" i="15" s="1"/>
  <c r="N61" i="13"/>
  <c r="N11" i="13"/>
  <c r="K10" i="18"/>
  <c r="N30" i="13"/>
  <c r="AH23" i="15" s="1"/>
  <c r="N10" i="13"/>
  <c r="AH39" i="15" s="1"/>
  <c r="N9" i="13"/>
  <c r="S9" i="18"/>
  <c r="C9" i="18"/>
  <c r="K9" i="18"/>
  <c r="N40" i="13"/>
  <c r="AH75" i="15" s="1"/>
  <c r="W25" i="12"/>
  <c r="N31" i="13"/>
  <c r="N35" i="13"/>
  <c r="AH43" i="15" s="1"/>
  <c r="C8" i="18"/>
  <c r="N55" i="13"/>
  <c r="AH59" i="15" s="1"/>
  <c r="K8" i="18"/>
  <c r="N14" i="13"/>
  <c r="AH40" i="15" s="1"/>
  <c r="N32" i="13"/>
  <c r="N16" i="13"/>
  <c r="N87" i="13"/>
  <c r="N39" i="13"/>
  <c r="N65" i="13"/>
  <c r="AH51" i="15" s="1"/>
  <c r="W17" i="12"/>
  <c r="S7" i="18"/>
  <c r="N59" i="13"/>
  <c r="N26" i="13"/>
  <c r="AH81" i="15" s="1"/>
  <c r="N8" i="13"/>
  <c r="AH29" i="15" s="1"/>
  <c r="C6" i="18"/>
  <c r="N60" i="13"/>
  <c r="AH10" i="15" s="1"/>
  <c r="N66" i="13"/>
  <c r="N38" i="13"/>
  <c r="W13" i="12"/>
  <c r="K6" i="18"/>
  <c r="N68" i="13"/>
  <c r="AH61" i="15" s="1"/>
  <c r="N19" i="13"/>
  <c r="N76" i="13"/>
  <c r="AH69" i="15" s="1"/>
  <c r="N41" i="13"/>
  <c r="W9" i="12"/>
  <c r="N42" i="13"/>
  <c r="AH87" i="15" s="1"/>
  <c r="N85" i="13"/>
  <c r="AH78" i="15" s="1"/>
  <c r="C5" i="18"/>
  <c r="N28" i="13"/>
  <c r="N46" i="13"/>
  <c r="N51" i="13"/>
  <c r="AH30" i="15" s="1"/>
  <c r="N36" i="13"/>
  <c r="AH48" i="15" s="1"/>
  <c r="N79" i="13"/>
  <c r="AH33" i="15" s="1"/>
  <c r="N62" i="13"/>
  <c r="AH42" i="15" s="1"/>
  <c r="K5" i="18"/>
  <c r="AH6" i="15"/>
  <c r="Q11" i="18"/>
  <c r="I11" i="18"/>
  <c r="Y10" i="18"/>
  <c r="Q10" i="18"/>
  <c r="W24" i="12"/>
  <c r="I8" i="18"/>
  <c r="W20" i="12"/>
  <c r="Y7" i="18"/>
  <c r="I7" i="18"/>
  <c r="Q7" i="18"/>
  <c r="I6" i="18"/>
  <c r="W16" i="12"/>
  <c r="Q6" i="18"/>
  <c r="I5" i="18"/>
  <c r="Y5" i="18"/>
  <c r="Q5" i="18"/>
  <c r="W12" i="12"/>
  <c r="W8" i="12"/>
  <c r="Q4" i="18"/>
  <c r="N80" i="13"/>
  <c r="AH49" i="15" s="1"/>
  <c r="N78" i="13"/>
  <c r="AH20" i="15" s="1"/>
  <c r="N64" i="13"/>
  <c r="AH50" i="15" s="1"/>
  <c r="T56" i="15"/>
  <c r="N63" i="13"/>
  <c r="AN46" i="15"/>
  <c r="N74" i="13"/>
  <c r="AH83" i="15" s="1"/>
  <c r="N49" i="13"/>
  <c r="AH25" i="15" s="1"/>
  <c r="N89" i="13"/>
  <c r="N18" i="13"/>
  <c r="AH47" i="15" s="1"/>
  <c r="T23" i="12"/>
  <c r="AL4" i="13"/>
  <c r="T69" i="15"/>
  <c r="N8" i="17"/>
  <c r="T17" i="15"/>
  <c r="T13" i="15"/>
  <c r="N5" i="13"/>
  <c r="AH12" i="15" s="1"/>
  <c r="AN89" i="15"/>
  <c r="N34" i="13"/>
  <c r="AH32" i="15" s="1"/>
  <c r="N73" i="13"/>
  <c r="AH79" i="15" s="1"/>
  <c r="N69" i="13"/>
  <c r="AH65" i="15" s="1"/>
  <c r="N52" i="13"/>
  <c r="AN48" i="15"/>
  <c r="U7" i="18"/>
  <c r="T21" i="15"/>
  <c r="G20" i="13"/>
  <c r="E57" i="15" s="1"/>
  <c r="G33" i="13"/>
  <c r="G50" i="13"/>
  <c r="N15" i="13"/>
  <c r="N6" i="13"/>
  <c r="N4" i="13"/>
  <c r="AH4" i="15" s="1"/>
  <c r="N27" i="13"/>
  <c r="AH5" i="15" s="1"/>
  <c r="N67" i="13"/>
  <c r="N72" i="13"/>
  <c r="N44" i="13"/>
  <c r="AH11" i="15" s="1"/>
  <c r="N29" i="13"/>
  <c r="AH19" i="15" s="1"/>
  <c r="F43" i="13"/>
  <c r="F7" i="15" s="1"/>
  <c r="F57" i="13"/>
  <c r="F82" i="15" s="1"/>
  <c r="F48" i="13"/>
  <c r="F24" i="15" s="1"/>
  <c r="F55" i="13"/>
  <c r="F59" i="15" s="1"/>
  <c r="F50" i="13"/>
  <c r="F28" i="15" s="1"/>
  <c r="F37" i="13"/>
  <c r="F63" i="15" s="1"/>
  <c r="F29" i="13"/>
  <c r="F19" i="15" s="1"/>
  <c r="F56" i="13"/>
  <c r="F62" i="15" s="1"/>
  <c r="F44" i="13"/>
  <c r="F11" i="15" s="1"/>
  <c r="F36" i="13"/>
  <c r="F48" i="15" s="1"/>
  <c r="F34" i="13"/>
  <c r="F32" i="15" s="1"/>
  <c r="F54" i="13"/>
  <c r="F56" i="15" s="1"/>
  <c r="F51" i="13"/>
  <c r="F30" i="15" s="1"/>
  <c r="F53" i="13"/>
  <c r="F52" i="15" s="1"/>
  <c r="F45" i="13"/>
  <c r="F17" i="15" s="1"/>
  <c r="F31" i="13"/>
  <c r="F26" i="15" s="1"/>
  <c r="F27" i="13"/>
  <c r="F5" i="15" s="1"/>
  <c r="F46" i="13"/>
  <c r="F21" i="15" s="1"/>
  <c r="F47" i="13"/>
  <c r="F22" i="15" s="1"/>
  <c r="F52" i="13"/>
  <c r="F38" i="15" s="1"/>
  <c r="F40" i="13"/>
  <c r="F75" i="15" s="1"/>
  <c r="Z6" i="12"/>
  <c r="Y9" i="18"/>
  <c r="W29" i="12"/>
  <c r="W36" i="12"/>
  <c r="C10" i="18"/>
  <c r="K11" i="18"/>
  <c r="I9" i="18"/>
  <c r="AH8" i="15"/>
  <c r="AH86" i="15"/>
  <c r="AH13" i="15"/>
  <c r="AH35" i="15"/>
  <c r="N81" i="13"/>
  <c r="AH58" i="15" s="1"/>
  <c r="N20" i="13"/>
  <c r="AH57" i="15" s="1"/>
  <c r="N45" i="13"/>
  <c r="AH17" i="15" s="1"/>
  <c r="N54" i="13"/>
  <c r="AH56" i="15" s="1"/>
  <c r="W28" i="12"/>
  <c r="AH15" i="15"/>
  <c r="N43" i="13"/>
  <c r="AH7" i="15" s="1"/>
  <c r="N82" i="13"/>
  <c r="AH60" i="15" s="1"/>
  <c r="AH54" i="15"/>
  <c r="M18" i="13"/>
  <c r="AE26" i="15"/>
  <c r="M6" i="13"/>
  <c r="M10" i="13"/>
  <c r="AE39" i="15" s="1"/>
  <c r="B43" i="7"/>
  <c r="M11" i="13"/>
  <c r="B8" i="7"/>
  <c r="A8" i="7" s="1"/>
  <c r="M49" i="13"/>
  <c r="B39" i="7"/>
  <c r="AE51" i="15"/>
  <c r="M52" i="13"/>
  <c r="T37" i="12"/>
  <c r="M8" i="13"/>
  <c r="AE29" i="15" s="1"/>
  <c r="M50" i="13"/>
  <c r="AE28" i="15" s="1"/>
  <c r="M39" i="13"/>
  <c r="AE69" i="15" s="1"/>
  <c r="B22" i="7"/>
  <c r="M17" i="13"/>
  <c r="AE45" i="15" s="1"/>
  <c r="T45" i="12"/>
  <c r="T41" i="12"/>
  <c r="A7" i="7"/>
  <c r="B34" i="7"/>
  <c r="B28" i="7"/>
  <c r="T47" i="12"/>
  <c r="M36" i="13"/>
  <c r="AE48" i="15" s="1"/>
  <c r="M58" i="13"/>
  <c r="AE8" i="15" s="1"/>
  <c r="M53" i="13"/>
  <c r="AE52" i="15" s="1"/>
  <c r="T39" i="12"/>
  <c r="AE85" i="15"/>
  <c r="AE44" i="15"/>
  <c r="A6" i="7"/>
  <c r="M37" i="13"/>
  <c r="AE63" i="15" s="1"/>
  <c r="AE50" i="15"/>
  <c r="AE57" i="15"/>
  <c r="T42" i="12"/>
  <c r="AE43" i="15"/>
  <c r="T32" i="12"/>
  <c r="B25" i="7"/>
  <c r="T28" i="12"/>
  <c r="M34" i="13"/>
  <c r="M56" i="13"/>
  <c r="AE62" i="15" s="1"/>
  <c r="B9" i="7"/>
  <c r="M89" i="13"/>
  <c r="AE7" i="15" s="1"/>
  <c r="M45" i="13"/>
  <c r="AE17" i="15" s="1"/>
  <c r="T20" i="12"/>
  <c r="M12" i="13"/>
  <c r="AE16" i="15" s="1"/>
  <c r="B10" i="7"/>
  <c r="A10" i="7" s="1"/>
  <c r="AE35" i="15"/>
  <c r="M26" i="13"/>
  <c r="AE81" i="15" s="1"/>
  <c r="M22" i="13"/>
  <c r="AE72" i="15" s="1"/>
  <c r="T15" i="12"/>
  <c r="F39" i="7" s="1"/>
  <c r="M72" i="13"/>
  <c r="AE77" i="15" s="1"/>
  <c r="T38" i="12"/>
  <c r="M77" i="13"/>
  <c r="AE15" i="15" s="1"/>
  <c r="AE19" i="15"/>
  <c r="A5" i="7"/>
  <c r="AE68" i="15"/>
  <c r="AE86" i="15"/>
  <c r="AE87" i="15"/>
  <c r="M70" i="13"/>
  <c r="AE66" i="15" s="1"/>
  <c r="M5" i="13"/>
  <c r="AE12" i="15" s="1"/>
  <c r="M9" i="13"/>
  <c r="AE34" i="15" s="1"/>
  <c r="B13" i="7"/>
  <c r="T8" i="12"/>
  <c r="F37" i="7" s="1"/>
  <c r="M88" i="13"/>
  <c r="M67" i="13"/>
  <c r="M25" i="13"/>
  <c r="AE73" i="15" s="1"/>
  <c r="B44" i="7"/>
  <c r="M21" i="13"/>
  <c r="AE74" i="15" s="1"/>
  <c r="M24" i="13"/>
  <c r="AE70" i="15" s="1"/>
  <c r="F6" i="7"/>
  <c r="AE75" i="15"/>
  <c r="AE33" i="15"/>
  <c r="M75" i="13"/>
  <c r="AE84" i="15" s="1"/>
  <c r="AE23" i="15"/>
  <c r="M44" i="13"/>
  <c r="AE11" i="15" s="1"/>
  <c r="M61" i="13"/>
  <c r="M66" i="13"/>
  <c r="AE53" i="15" s="1"/>
  <c r="M46" i="13"/>
  <c r="AE21" i="15" s="1"/>
  <c r="M7" i="13"/>
  <c r="AE18" i="15" s="1"/>
  <c r="B19" i="7"/>
  <c r="T40" i="12"/>
  <c r="B32" i="7"/>
  <c r="AE4" i="15"/>
  <c r="T36" i="12"/>
  <c r="F3" i="7"/>
  <c r="AE59" i="15"/>
  <c r="AE79" i="15"/>
  <c r="AE54" i="15"/>
  <c r="AE71" i="15"/>
  <c r="Q14" i="12"/>
  <c r="I4" i="4"/>
  <c r="K67" i="13"/>
  <c r="W55" i="15" s="1"/>
  <c r="K83" i="13"/>
  <c r="W64" i="15" s="1"/>
  <c r="K86" i="13"/>
  <c r="G4" i="4"/>
  <c r="O8" i="4"/>
  <c r="Q26" i="12"/>
  <c r="K15" i="13"/>
  <c r="W71" i="15" s="1"/>
  <c r="K11" i="13"/>
  <c r="W35" i="15" s="1"/>
  <c r="K63" i="13"/>
  <c r="K80" i="13"/>
  <c r="O4" i="4"/>
  <c r="K10" i="4"/>
  <c r="Q7" i="4"/>
  <c r="G7" i="4"/>
  <c r="S4" i="4"/>
  <c r="K9" i="13"/>
  <c r="W34" i="15" s="1"/>
  <c r="K69" i="13"/>
  <c r="K3" i="13"/>
  <c r="W3" i="15" s="1"/>
  <c r="K12" i="13"/>
  <c r="M7" i="4"/>
  <c r="M4" i="4"/>
  <c r="K41" i="13"/>
  <c r="W86" i="15" s="1"/>
  <c r="K20" i="13"/>
  <c r="Q10" i="12"/>
  <c r="K51" i="13"/>
  <c r="W30" i="15" s="1"/>
  <c r="Q11" i="4"/>
  <c r="Q34" i="12"/>
  <c r="K35" i="13"/>
  <c r="W43" i="15" s="1"/>
  <c r="S8" i="4"/>
  <c r="O17" i="4"/>
  <c r="Q18" i="12"/>
  <c r="O9" i="4"/>
  <c r="Q15" i="4"/>
  <c r="Q38" i="12"/>
  <c r="U9" i="4"/>
  <c r="K46" i="13"/>
  <c r="W21" i="15" s="1"/>
  <c r="K29" i="13"/>
  <c r="W19" i="15" s="1"/>
  <c r="K19" i="13"/>
  <c r="K16" i="13"/>
  <c r="K13" i="13"/>
  <c r="W37" i="15" s="1"/>
  <c r="G12" i="4"/>
  <c r="M16" i="4"/>
  <c r="G8" i="4"/>
  <c r="K71" i="13"/>
  <c r="W76" i="15" s="1"/>
  <c r="K37" i="13"/>
  <c r="K43" i="13"/>
  <c r="W7" i="15" s="1"/>
  <c r="S16" i="4"/>
  <c r="K62" i="13"/>
  <c r="W85" i="15" s="1"/>
  <c r="E4" i="4"/>
  <c r="K70" i="13"/>
  <c r="W66" i="15" s="1"/>
  <c r="K4" i="4"/>
  <c r="K27" i="13"/>
  <c r="W5" i="15" s="1"/>
  <c r="I16" i="4"/>
  <c r="K52" i="13"/>
  <c r="W38" i="15" s="1"/>
  <c r="G15" i="4"/>
  <c r="K18" i="13"/>
  <c r="W47" i="15" s="1"/>
  <c r="E18" i="4"/>
  <c r="Q14" i="4"/>
  <c r="U16" i="4"/>
  <c r="K4" i="13"/>
  <c r="W73" i="15" s="1"/>
  <c r="W46" i="15"/>
  <c r="W17" i="15"/>
  <c r="K58" i="13"/>
  <c r="W6" i="15" s="1"/>
  <c r="M11" i="4"/>
  <c r="Q27" i="12"/>
  <c r="Q18" i="4"/>
  <c r="K77" i="13"/>
  <c r="K18" i="4"/>
  <c r="Q36" i="12"/>
  <c r="G14" i="4"/>
  <c r="U15" i="4"/>
  <c r="I15" i="4"/>
  <c r="Q40" i="12"/>
  <c r="E13" i="4"/>
  <c r="K31" i="13"/>
  <c r="W26" i="15" s="1"/>
  <c r="K39" i="13"/>
  <c r="W69" i="15" s="1"/>
  <c r="Q32" i="12"/>
  <c r="K78" i="13"/>
  <c r="U11" i="4"/>
  <c r="O11" i="4"/>
  <c r="Q28" i="12"/>
  <c r="S10" i="4"/>
  <c r="G10" i="4"/>
  <c r="K73" i="13"/>
  <c r="W79" i="15" s="1"/>
  <c r="K57" i="13"/>
  <c r="W82" i="15" s="1"/>
  <c r="K75" i="13"/>
  <c r="W84" i="15" s="1"/>
  <c r="M9" i="4"/>
  <c r="G9" i="4"/>
  <c r="W11" i="15"/>
  <c r="W81" i="15"/>
  <c r="I7" i="4"/>
  <c r="I12" i="4"/>
  <c r="G11" i="4"/>
  <c r="K5" i="13"/>
  <c r="W12" i="15" s="1"/>
  <c r="K47" i="13"/>
  <c r="W58" i="15" s="1"/>
  <c r="K64" i="13"/>
  <c r="E5" i="4"/>
  <c r="K54" i="13"/>
  <c r="W33" i="15" s="1"/>
  <c r="K55" i="13"/>
  <c r="W59" i="15" s="1"/>
  <c r="E10" i="4"/>
  <c r="K68" i="13"/>
  <c r="W61" i="15" s="1"/>
  <c r="Q10" i="4"/>
  <c r="K42" i="13"/>
  <c r="W87" i="15" s="1"/>
  <c r="G6" i="4"/>
  <c r="M6" i="4"/>
  <c r="K8" i="13"/>
  <c r="W29" i="15" s="1"/>
  <c r="G18" i="4"/>
  <c r="Q48" i="12"/>
  <c r="K17" i="4"/>
  <c r="W41" i="15"/>
  <c r="W89" i="15"/>
  <c r="M18" i="4"/>
  <c r="Q44" i="12"/>
  <c r="W48" i="15"/>
  <c r="W36" i="15"/>
  <c r="W53" i="15"/>
  <c r="W57" i="15"/>
  <c r="K61" i="13"/>
  <c r="W32" i="15" s="1"/>
  <c r="K7" i="13"/>
  <c r="E17" i="4"/>
  <c r="W51" i="15"/>
  <c r="W10" i="15"/>
  <c r="W68" i="15"/>
  <c r="K5" i="17"/>
  <c r="K6" i="17"/>
  <c r="Q5" i="17"/>
  <c r="Q6" i="17"/>
  <c r="N7" i="12"/>
  <c r="Q11" i="17"/>
  <c r="N15" i="12"/>
  <c r="N12" i="12"/>
  <c r="W11" i="17"/>
  <c r="N16" i="12"/>
  <c r="W15" i="17"/>
  <c r="K15" i="17"/>
  <c r="N8" i="12"/>
  <c r="N5" i="12"/>
  <c r="R13" i="17" s="1"/>
  <c r="N17" i="12"/>
  <c r="N9" i="12"/>
  <c r="K12" i="17"/>
  <c r="Q12" i="17"/>
  <c r="R12" i="17" s="1"/>
  <c r="W16" i="17"/>
  <c r="Q7" i="17"/>
  <c r="W7" i="17"/>
  <c r="Q9" i="17"/>
  <c r="R9" i="17" s="1"/>
  <c r="U9" i="17"/>
  <c r="L9" i="12"/>
  <c r="I9" i="17"/>
  <c r="L7" i="12"/>
  <c r="U14" i="17"/>
  <c r="I10" i="17"/>
  <c r="L11" i="12"/>
  <c r="O10" i="17"/>
  <c r="U7" i="17"/>
  <c r="O7" i="17"/>
  <c r="L5" i="12"/>
  <c r="L12" i="12"/>
  <c r="L8" i="12"/>
  <c r="I5" i="17"/>
  <c r="I12" i="17"/>
  <c r="L13" i="12"/>
  <c r="I15" i="17"/>
  <c r="O15" i="17"/>
  <c r="L16" i="12"/>
  <c r="I11" i="17"/>
  <c r="O11" i="17"/>
  <c r="U5" i="17"/>
  <c r="U16" i="17"/>
  <c r="I16" i="17"/>
  <c r="O12" i="17"/>
  <c r="L17" i="12"/>
  <c r="L14" i="12"/>
  <c r="U13" i="17"/>
  <c r="I13" i="17"/>
  <c r="G14" i="17"/>
  <c r="AN11" i="15"/>
  <c r="L37" i="13"/>
  <c r="AN77" i="15" s="1"/>
  <c r="AN57" i="15"/>
  <c r="AN71" i="15"/>
  <c r="AN66" i="15"/>
  <c r="AN33" i="15"/>
  <c r="L31" i="13"/>
  <c r="AN29" i="15"/>
  <c r="L46" i="13"/>
  <c r="AN36" i="15"/>
  <c r="L72" i="13"/>
  <c r="AN35" i="15"/>
  <c r="AN58" i="15"/>
  <c r="J15" i="12"/>
  <c r="N15" i="17" s="1"/>
  <c r="AN74" i="15"/>
  <c r="AN27" i="15"/>
  <c r="AN26" i="15"/>
  <c r="L48" i="13"/>
  <c r="AN24" i="15" s="1"/>
  <c r="L76" i="13"/>
  <c r="AN69" i="15" s="1"/>
  <c r="AN40" i="15"/>
  <c r="L18" i="13"/>
  <c r="AN47" i="15" s="1"/>
  <c r="M16" i="17"/>
  <c r="S16" i="17"/>
  <c r="M14" i="17"/>
  <c r="N14" i="17" s="1"/>
  <c r="S14" i="17"/>
  <c r="AN4" i="15"/>
  <c r="AB74" i="15"/>
  <c r="AB66" i="15"/>
  <c r="J6" i="13"/>
  <c r="AB16" i="15" s="1"/>
  <c r="D29" i="5"/>
  <c r="AB69" i="15"/>
  <c r="AB61" i="15"/>
  <c r="D25" i="5"/>
  <c r="J66" i="13"/>
  <c r="AB53" i="15" s="1"/>
  <c r="G31" i="12"/>
  <c r="J8" i="13"/>
  <c r="AB29" i="15" s="1"/>
  <c r="G28" i="12"/>
  <c r="AB18" i="15"/>
  <c r="J18" i="13"/>
  <c r="AB47" i="15" s="1"/>
  <c r="J15" i="13"/>
  <c r="AB41" i="15" s="1"/>
  <c r="D32" i="5"/>
  <c r="AB8" i="15"/>
  <c r="D23" i="5"/>
  <c r="J80" i="13"/>
  <c r="AB49" i="15" s="1"/>
  <c r="AB45" i="15"/>
  <c r="G24" i="12"/>
  <c r="J41" i="13"/>
  <c r="J56" i="13"/>
  <c r="AB62" i="15" s="1"/>
  <c r="G16" i="12"/>
  <c r="D9" i="5"/>
  <c r="G8" i="12"/>
  <c r="J78" i="13"/>
  <c r="AB20" i="15" s="1"/>
  <c r="D13" i="5"/>
  <c r="AB46" i="15"/>
  <c r="J22" i="13"/>
  <c r="AB34" i="15" s="1"/>
  <c r="AB70" i="15"/>
  <c r="J26" i="13"/>
  <c r="AB24" i="15" s="1"/>
  <c r="J40" i="13"/>
  <c r="AB75" i="15" s="1"/>
  <c r="AB56" i="15"/>
  <c r="J20" i="13"/>
  <c r="AB57" i="15" s="1"/>
  <c r="G3" i="5"/>
  <c r="J89" i="13"/>
  <c r="AB84" i="15"/>
  <c r="AB83" i="15"/>
  <c r="G33" i="12"/>
  <c r="G30" i="12"/>
  <c r="AB63" i="15"/>
  <c r="AB10" i="15"/>
  <c r="G26" i="12"/>
  <c r="J77" i="13"/>
  <c r="AB15" i="15" s="1"/>
  <c r="J69" i="13"/>
  <c r="AB48" i="15" s="1"/>
  <c r="AB55" i="15"/>
  <c r="D19" i="5"/>
  <c r="AB88" i="15"/>
  <c r="AB26" i="15"/>
  <c r="J87" i="13"/>
  <c r="AB27" i="15"/>
  <c r="D20" i="5"/>
  <c r="J34" i="13"/>
  <c r="J19" i="13"/>
  <c r="AB54" i="15" s="1"/>
  <c r="J42" i="13"/>
  <c r="AB87" i="15" s="1"/>
  <c r="G22" i="12"/>
  <c r="J53" i="13"/>
  <c r="AB52" i="15" s="1"/>
  <c r="J59" i="13"/>
  <c r="AB9" i="15" s="1"/>
  <c r="J73" i="13"/>
  <c r="D31" i="5"/>
  <c r="J23" i="13"/>
  <c r="AB71" i="15" s="1"/>
  <c r="AB13" i="15"/>
  <c r="G17" i="12"/>
  <c r="J50" i="13"/>
  <c r="AB28" i="15" s="1"/>
  <c r="F14" i="3"/>
  <c r="T32" i="15"/>
  <c r="T14" i="15"/>
  <c r="T28" i="15"/>
  <c r="T76" i="15"/>
  <c r="T9" i="15"/>
  <c r="D26" i="12"/>
  <c r="F27" i="3" s="1"/>
  <c r="I4" i="13"/>
  <c r="F4" i="3"/>
  <c r="D23" i="12"/>
  <c r="I86" i="13"/>
  <c r="T80" i="15" s="1"/>
  <c r="I74" i="13"/>
  <c r="T83" i="15" s="1"/>
  <c r="I17" i="13"/>
  <c r="T20" i="15" s="1"/>
  <c r="T27" i="15"/>
  <c r="F3" i="3"/>
  <c r="T35" i="15"/>
  <c r="T43" i="15"/>
  <c r="T19" i="15"/>
  <c r="T38" i="15"/>
  <c r="D30" i="12"/>
  <c r="T55" i="15"/>
  <c r="I43" i="13"/>
  <c r="T7" i="15" s="1"/>
  <c r="I80" i="13"/>
  <c r="T47" i="15" s="1"/>
  <c r="D11" i="12"/>
  <c r="D27" i="12"/>
  <c r="T8" i="15"/>
  <c r="I42" i="13"/>
  <c r="T87" i="15" s="1"/>
  <c r="B33" i="3"/>
  <c r="D22" i="12"/>
  <c r="I51" i="13"/>
  <c r="T59" i="15" s="1"/>
  <c r="T44" i="15"/>
  <c r="I36" i="13"/>
  <c r="T48" i="15" s="1"/>
  <c r="T77" i="15"/>
  <c r="I37" i="13"/>
  <c r="T63" i="15" s="1"/>
  <c r="T33" i="15"/>
  <c r="T15" i="15"/>
  <c r="A5" i="12"/>
  <c r="F16" i="3"/>
  <c r="F11" i="3"/>
  <c r="T24" i="15"/>
  <c r="T81" i="15"/>
  <c r="T84" i="15"/>
  <c r="AE13" i="15"/>
  <c r="AH53" i="15"/>
  <c r="AN55" i="15"/>
  <c r="AN88" i="15"/>
  <c r="W83" i="15"/>
  <c r="W27" i="15"/>
  <c r="W75" i="15"/>
  <c r="AN7" i="15"/>
  <c r="N47" i="13"/>
  <c r="AH22" i="15" s="1"/>
  <c r="E22" i="15"/>
  <c r="E36" i="15"/>
  <c r="N12" i="13"/>
  <c r="AH16" i="15" s="1"/>
  <c r="E68" i="15"/>
  <c r="N84" i="13"/>
  <c r="AH68" i="15" s="1"/>
  <c r="F20" i="3"/>
  <c r="F13" i="3"/>
  <c r="F35" i="7"/>
  <c r="F5" i="7"/>
  <c r="F17" i="3"/>
  <c r="F10" i="3"/>
  <c r="F6" i="3"/>
  <c r="F7" i="3"/>
  <c r="AB12" i="15"/>
  <c r="AE40" i="15"/>
  <c r="AB86" i="15"/>
  <c r="AE42" i="15"/>
  <c r="AB59" i="15"/>
  <c r="AE9" i="15"/>
  <c r="AE10" i="15"/>
  <c r="AE56" i="15"/>
  <c r="T86" i="15"/>
  <c r="T67" i="15"/>
  <c r="T39" i="15"/>
  <c r="T52" i="15"/>
  <c r="AN52" i="15"/>
  <c r="AN82" i="15"/>
  <c r="AN6" i="15"/>
  <c r="AN8" i="15"/>
  <c r="E18" i="15"/>
  <c r="N7" i="13"/>
  <c r="T40" i="15"/>
  <c r="AB36" i="15"/>
  <c r="AB50" i="15"/>
  <c r="AB68" i="15"/>
  <c r="AB60" i="15"/>
  <c r="AB19" i="15"/>
  <c r="AH73" i="15"/>
  <c r="W20" i="15"/>
  <c r="W45" i="15"/>
  <c r="W78" i="15"/>
  <c r="AE25" i="15"/>
  <c r="F33" i="7"/>
  <c r="F7" i="7"/>
  <c r="A4" i="7"/>
  <c r="F12" i="3"/>
  <c r="F9" i="3"/>
  <c r="AE67" i="15"/>
  <c r="AE24" i="15"/>
  <c r="AE60" i="15"/>
  <c r="AE38" i="15"/>
  <c r="AE82" i="15"/>
  <c r="AE46" i="15"/>
  <c r="T50" i="15"/>
  <c r="AB5" i="15"/>
  <c r="AE65" i="15"/>
  <c r="AE5" i="15"/>
  <c r="AN83" i="15"/>
  <c r="AH36" i="15"/>
  <c r="T41" i="15"/>
  <c r="T53" i="15"/>
  <c r="T18" i="15"/>
  <c r="T60" i="15"/>
  <c r="T64" i="15"/>
  <c r="T12" i="15"/>
  <c r="T26" i="15"/>
  <c r="E50" i="15"/>
  <c r="AB21" i="15"/>
  <c r="AE58" i="15"/>
  <c r="AE83" i="15"/>
  <c r="AH85" i="15"/>
  <c r="AH46" i="15"/>
  <c r="AH67" i="15"/>
  <c r="N13" i="13"/>
  <c r="AH37" i="15" s="1"/>
  <c r="AH24" i="15"/>
  <c r="AH9" i="15"/>
  <c r="N86" i="13"/>
  <c r="AH80" i="15" s="1"/>
  <c r="AH27" i="15"/>
  <c r="AH14" i="15"/>
  <c r="AN30" i="15"/>
  <c r="AN34" i="15"/>
  <c r="W50" i="15"/>
  <c r="AN50" i="15"/>
  <c r="W25" i="15"/>
  <c r="W44" i="15"/>
  <c r="W54" i="15"/>
  <c r="W16" i="15"/>
  <c r="AN72" i="15"/>
  <c r="W49" i="15"/>
  <c r="AN38" i="15"/>
  <c r="AN10" i="15"/>
  <c r="AN23" i="15"/>
  <c r="AN79" i="15"/>
  <c r="AN65" i="15"/>
  <c r="AH26" i="15"/>
  <c r="AN84" i="15"/>
  <c r="W60" i="15"/>
  <c r="AN15" i="15"/>
  <c r="W80" i="15"/>
  <c r="AN32" i="15"/>
  <c r="Q19" i="12"/>
  <c r="T65" i="15"/>
  <c r="AB4" i="15"/>
  <c r="AE41" i="15"/>
  <c r="AH41" i="15"/>
  <c r="AH44" i="15"/>
  <c r="AH34" i="15"/>
  <c r="AE6" i="15"/>
  <c r="AN37" i="15"/>
  <c r="AE61" i="15"/>
  <c r="AN41" i="15"/>
  <c r="AN22" i="15"/>
  <c r="W63" i="15"/>
  <c r="W65" i="15"/>
  <c r="W13" i="15"/>
  <c r="W15" i="15"/>
  <c r="W52" i="15"/>
  <c r="AN81" i="15"/>
  <c r="AN21" i="15"/>
  <c r="AN85" i="15"/>
  <c r="AN44" i="15"/>
  <c r="J25" i="13"/>
  <c r="AB73" i="15" s="1"/>
  <c r="F5" i="3"/>
  <c r="Q13" i="4"/>
  <c r="Q31" i="12"/>
  <c r="F22" i="3"/>
  <c r="F15" i="3"/>
  <c r="F8" i="3"/>
  <c r="Q17" i="4"/>
  <c r="X12" i="15"/>
  <c r="Z12" i="15"/>
  <c r="AF90" i="15"/>
  <c r="AI90" i="15"/>
  <c r="AU36" i="15"/>
  <c r="AV71" i="15"/>
  <c r="AV35" i="15"/>
  <c r="AW54" i="15"/>
  <c r="BC25" i="15"/>
  <c r="R90" i="15"/>
  <c r="AJ90" i="15"/>
  <c r="AK90" i="15"/>
  <c r="AL90" i="15"/>
  <c r="AO90" i="15"/>
  <c r="AP90" i="15"/>
  <c r="AU15" i="15"/>
  <c r="AV34" i="15"/>
  <c r="AY90" i="15"/>
  <c r="BC58" i="15"/>
  <c r="BC34" i="15"/>
  <c r="BC3" i="15"/>
  <c r="BH3" i="15"/>
  <c r="AW26" i="15"/>
  <c r="AQ90" i="15"/>
  <c r="BC14" i="15"/>
  <c r="BC28" i="15"/>
  <c r="BC4" i="15"/>
  <c r="BC75" i="15"/>
  <c r="U90" i="15"/>
  <c r="AV3" i="15"/>
  <c r="AW86" i="15"/>
  <c r="AV82" i="15"/>
  <c r="AV22" i="15"/>
  <c r="AW65" i="15"/>
  <c r="AW21" i="15"/>
  <c r="AW5" i="15"/>
  <c r="E20" i="15"/>
  <c r="R5" i="17"/>
  <c r="N16" i="17"/>
  <c r="N9" i="17"/>
  <c r="R8" i="17"/>
  <c r="T35" i="12"/>
  <c r="B14" i="7"/>
  <c r="N6" i="17"/>
  <c r="N12" i="17"/>
  <c r="N13" i="17"/>
  <c r="N37" i="13"/>
  <c r="L6" i="12"/>
  <c r="I4" i="17"/>
  <c r="I5" i="4"/>
  <c r="AU76" i="15"/>
  <c r="AU72" i="15"/>
  <c r="AU32" i="15"/>
  <c r="AU20" i="15"/>
  <c r="AU16" i="15"/>
  <c r="AV55" i="15"/>
  <c r="AV51" i="15"/>
  <c r="AV19" i="15"/>
  <c r="AV15" i="15"/>
  <c r="AW78" i="15"/>
  <c r="AW66" i="15"/>
  <c r="AW50" i="15"/>
  <c r="AW42" i="15"/>
  <c r="AW38" i="15"/>
  <c r="AW18" i="15"/>
  <c r="AW10" i="15"/>
  <c r="AW6" i="15"/>
  <c r="P4" i="17"/>
  <c r="N5" i="17"/>
  <c r="N4" i="17"/>
  <c r="Q11" i="12"/>
  <c r="N10" i="17"/>
  <c r="N11" i="17"/>
  <c r="AV73" i="15"/>
  <c r="BC82" i="15"/>
  <c r="BC78" i="15"/>
  <c r="BC62" i="15"/>
  <c r="BC50" i="15"/>
  <c r="BC46" i="15"/>
  <c r="BC42" i="15"/>
  <c r="BC30" i="15"/>
  <c r="BC26" i="15"/>
  <c r="BC18" i="15"/>
  <c r="BC10" i="15"/>
  <c r="BC89" i="15"/>
  <c r="BC65" i="15"/>
  <c r="BC45" i="15"/>
  <c r="Q4" i="17"/>
  <c r="R4" i="17" s="1"/>
  <c r="K4" i="17"/>
  <c r="I17" i="4"/>
  <c r="I13" i="4"/>
  <c r="BH84" i="15"/>
  <c r="BH80" i="15"/>
  <c r="BH76" i="15"/>
  <c r="BH72" i="15"/>
  <c r="BH68" i="15"/>
  <c r="BH64" i="15"/>
  <c r="BH60" i="15"/>
  <c r="BH56" i="15"/>
  <c r="BH52" i="15"/>
  <c r="BH48" i="15"/>
  <c r="BH86" i="15"/>
  <c r="BH82" i="15"/>
  <c r="BH74" i="15"/>
  <c r="BH70" i="15"/>
  <c r="BH66" i="15"/>
  <c r="BH58" i="15"/>
  <c r="BH54" i="15"/>
  <c r="BH50" i="15"/>
  <c r="BH46" i="15"/>
  <c r="BH38" i="15"/>
  <c r="BH34" i="15"/>
  <c r="BH26" i="15"/>
  <c r="BH22" i="15"/>
  <c r="BH18" i="15"/>
  <c r="BH14" i="15"/>
  <c r="BH6" i="15"/>
  <c r="AU62" i="15"/>
  <c r="AU6" i="15"/>
  <c r="AV49" i="15"/>
  <c r="AV17" i="15"/>
  <c r="AW68" i="15"/>
  <c r="BC81" i="15"/>
  <c r="BC77" i="15"/>
  <c r="BC73" i="15"/>
  <c r="BC61" i="15"/>
  <c r="BC57" i="15"/>
  <c r="BC49" i="15"/>
  <c r="BC41" i="15"/>
  <c r="BC33" i="15"/>
  <c r="BC29" i="15"/>
  <c r="BC17" i="15"/>
  <c r="BC13" i="15"/>
  <c r="BC9" i="15"/>
  <c r="BC5" i="15"/>
  <c r="BC76" i="15"/>
  <c r="BC60" i="15"/>
  <c r="BC44" i="15"/>
  <c r="BC12" i="15"/>
  <c r="BB90" i="15"/>
  <c r="BC79" i="15"/>
  <c r="BC59" i="15"/>
  <c r="BC55" i="15"/>
  <c r="BC31" i="15"/>
  <c r="BC27" i="15"/>
  <c r="BC11" i="15"/>
  <c r="AU63" i="15"/>
  <c r="AU27" i="15"/>
  <c r="AU11" i="15"/>
  <c r="AV50" i="15"/>
  <c r="AV46" i="15"/>
  <c r="AV18" i="15"/>
  <c r="AV6" i="15"/>
  <c r="AW73" i="15"/>
  <c r="AW37" i="15"/>
  <c r="BC88" i="15"/>
  <c r="BC84" i="15"/>
  <c r="BC80" i="15"/>
  <c r="BC72" i="15"/>
  <c r="BC68" i="15"/>
  <c r="BC64" i="15"/>
  <c r="BC56" i="15"/>
  <c r="BC52" i="15"/>
  <c r="BC48" i="15"/>
  <c r="BC40" i="15"/>
  <c r="BC36" i="15"/>
  <c r="BC32" i="15"/>
  <c r="BC24" i="15"/>
  <c r="BC20" i="15"/>
  <c r="BC16" i="15"/>
  <c r="BC8" i="15"/>
  <c r="BA90" i="15"/>
  <c r="BH85" i="15"/>
  <c r="BH81" i="15"/>
  <c r="BH77" i="15"/>
  <c r="BH69" i="15"/>
  <c r="BH65" i="15"/>
  <c r="BH61" i="15"/>
  <c r="BH57" i="15"/>
  <c r="BH49" i="15"/>
  <c r="BH45" i="15"/>
  <c r="BH41" i="15"/>
  <c r="BH33" i="15"/>
  <c r="BH29" i="15"/>
  <c r="BH25" i="15"/>
  <c r="BH17" i="15"/>
  <c r="BH13" i="15"/>
  <c r="BH9" i="15"/>
  <c r="BH44" i="15"/>
  <c r="BH40" i="15"/>
  <c r="BH36" i="15"/>
  <c r="BH32" i="15"/>
  <c r="BH28" i="15"/>
  <c r="BH24" i="15"/>
  <c r="BH20" i="15"/>
  <c r="BH16" i="15"/>
  <c r="BH12" i="15"/>
  <c r="BH8" i="15"/>
  <c r="AU89" i="15"/>
  <c r="AU85" i="15"/>
  <c r="AU81" i="15"/>
  <c r="AU77" i="15"/>
  <c r="AU73" i="15"/>
  <c r="AU69" i="15"/>
  <c r="AU65" i="15"/>
  <c r="AU61" i="15"/>
  <c r="AU57" i="15"/>
  <c r="AU53" i="15"/>
  <c r="AU49" i="15"/>
  <c r="AU45" i="15"/>
  <c r="AU41" i="15"/>
  <c r="AU37" i="15"/>
  <c r="AU33" i="15"/>
  <c r="AU29" i="15"/>
  <c r="AU25" i="15"/>
  <c r="AU21" i="15"/>
  <c r="AU17" i="15"/>
  <c r="AU13" i="15"/>
  <c r="AU9" i="15"/>
  <c r="AV88" i="15"/>
  <c r="AV84" i="15"/>
  <c r="AV80" i="15"/>
  <c r="AV76" i="15"/>
  <c r="AV72" i="15"/>
  <c r="AV68" i="15"/>
  <c r="AV64" i="15"/>
  <c r="AV60" i="15"/>
  <c r="AV56" i="15"/>
  <c r="AV52" i="15"/>
  <c r="AV48" i="15"/>
  <c r="AV44" i="15"/>
  <c r="AV40" i="15"/>
  <c r="AV36" i="15"/>
  <c r="AV32" i="15"/>
  <c r="AV28" i="15"/>
  <c r="AV24" i="15"/>
  <c r="AV20" i="15"/>
  <c r="AV16" i="15"/>
  <c r="AV12" i="15"/>
  <c r="AV8" i="15"/>
  <c r="AV4" i="15"/>
  <c r="AW87" i="15"/>
  <c r="AW83" i="15"/>
  <c r="AW79" i="15"/>
  <c r="AW75" i="15"/>
  <c r="AW71" i="15"/>
  <c r="AW67" i="15"/>
  <c r="AW63" i="15"/>
  <c r="AW59" i="15"/>
  <c r="AU88" i="15"/>
  <c r="AU84" i="15"/>
  <c r="AU80" i="15"/>
  <c r="AU68" i="15"/>
  <c r="AU64" i="15"/>
  <c r="AU60" i="15"/>
  <c r="AU56" i="15"/>
  <c r="AU52" i="15"/>
  <c r="AU48" i="15"/>
  <c r="AU44" i="15"/>
  <c r="AU40" i="15"/>
  <c r="AU28" i="15"/>
  <c r="AU24" i="15"/>
  <c r="AU12" i="15"/>
  <c r="AU8" i="15"/>
  <c r="AU4" i="15"/>
  <c r="AV87" i="15"/>
  <c r="AV83" i="15"/>
  <c r="AV79" i="15"/>
  <c r="BH87" i="15"/>
  <c r="BH79" i="15"/>
  <c r="BH75" i="15"/>
  <c r="BH67" i="15"/>
  <c r="BH63" i="15"/>
  <c r="BH59" i="15"/>
  <c r="BH51" i="15"/>
  <c r="BH47" i="15"/>
  <c r="BH43" i="15"/>
  <c r="BH35" i="15"/>
  <c r="BH31" i="15"/>
  <c r="BH27" i="15"/>
  <c r="BH19" i="15"/>
  <c r="BH15" i="15"/>
  <c r="BH11" i="15"/>
  <c r="AW55" i="15"/>
  <c r="AW51" i="15"/>
  <c r="AW47" i="15"/>
  <c r="AW43" i="15"/>
  <c r="AW39" i="15"/>
  <c r="AW35" i="15"/>
  <c r="AW31" i="15"/>
  <c r="AW27" i="15"/>
  <c r="AW23" i="15"/>
  <c r="AW19" i="15"/>
  <c r="AW15" i="15"/>
  <c r="AW11" i="15"/>
  <c r="AW7" i="15"/>
  <c r="AU86" i="15"/>
  <c r="AU82" i="15"/>
  <c r="AU78" i="15"/>
  <c r="AU74" i="15"/>
  <c r="AU70" i="15"/>
  <c r="AU66" i="15"/>
  <c r="AU58" i="15"/>
  <c r="AU54" i="15"/>
  <c r="AU50" i="15"/>
  <c r="AU46" i="15"/>
  <c r="AU42" i="15"/>
  <c r="AU38" i="15"/>
  <c r="AU34" i="15"/>
  <c r="AU30" i="15"/>
  <c r="AU26" i="15"/>
  <c r="AU22" i="15"/>
  <c r="AU18" i="15"/>
  <c r="AU14" i="15"/>
  <c r="AU10" i="15"/>
  <c r="AV89" i="15"/>
  <c r="AV85" i="15"/>
  <c r="AV81" i="15"/>
  <c r="AV77" i="15"/>
  <c r="AV69" i="15"/>
  <c r="AV65" i="15"/>
  <c r="AV61" i="15"/>
  <c r="AV57" i="15"/>
  <c r="AV53" i="15"/>
  <c r="AV45" i="15"/>
  <c r="AV41" i="15"/>
  <c r="AV37" i="15"/>
  <c r="AV33" i="15"/>
  <c r="AV29" i="15"/>
  <c r="AV25" i="15"/>
  <c r="AV21" i="15"/>
  <c r="AV13" i="15"/>
  <c r="AV9" i="15"/>
  <c r="AW88" i="15"/>
  <c r="AW84" i="15"/>
  <c r="AW80" i="15"/>
  <c r="AW76" i="15"/>
  <c r="AW72" i="15"/>
  <c r="AW64" i="15"/>
  <c r="AW60" i="15"/>
  <c r="AW56" i="15"/>
  <c r="AW52" i="15"/>
  <c r="AW48" i="15"/>
  <c r="AW44" i="15"/>
  <c r="AW40" i="15"/>
  <c r="AW36" i="15"/>
  <c r="AW32" i="15"/>
  <c r="AW28" i="15"/>
  <c r="AW24" i="15"/>
  <c r="AW20" i="15"/>
  <c r="AW16" i="15"/>
  <c r="AW12" i="15"/>
  <c r="AW8" i="15"/>
  <c r="AW4" i="15"/>
  <c r="AU87" i="15"/>
  <c r="AU83" i="15"/>
  <c r="AU79" i="15"/>
  <c r="AU75" i="15"/>
  <c r="AU71" i="15"/>
  <c r="AU67" i="15"/>
  <c r="AU59" i="15"/>
  <c r="AU55" i="15"/>
  <c r="AV75" i="15"/>
  <c r="AV67" i="15"/>
  <c r="AV63" i="15"/>
  <c r="AV59" i="15"/>
  <c r="AV47" i="15"/>
  <c r="AV43" i="15"/>
  <c r="AV39" i="15"/>
  <c r="AV31" i="15"/>
  <c r="AV27" i="15"/>
  <c r="AV23" i="15"/>
  <c r="AV11" i="15"/>
  <c r="AV7" i="15"/>
  <c r="AW82" i="15"/>
  <c r="AW74" i="15"/>
  <c r="AW70" i="15"/>
  <c r="AW62" i="15"/>
  <c r="AW58" i="15"/>
  <c r="AW46" i="15"/>
  <c r="AW34" i="15"/>
  <c r="AW30" i="15"/>
  <c r="AW22" i="15"/>
  <c r="AW14" i="15"/>
  <c r="BH88" i="15"/>
  <c r="AU51" i="15"/>
  <c r="AU47" i="15"/>
  <c r="AU43" i="15"/>
  <c r="AU39" i="15"/>
  <c r="AU35" i="15"/>
  <c r="AU31" i="15"/>
  <c r="AU23" i="15"/>
  <c r="AU19" i="15"/>
  <c r="AU7" i="15"/>
  <c r="AV86" i="15"/>
  <c r="AV78" i="15"/>
  <c r="AV74" i="15"/>
  <c r="AV70" i="15"/>
  <c r="AV66" i="15"/>
  <c r="AV62" i="15"/>
  <c r="AV58" i="15"/>
  <c r="AV54" i="15"/>
  <c r="AV42" i="15"/>
  <c r="AV38" i="15"/>
  <c r="AV30" i="15"/>
  <c r="AV26" i="15"/>
  <c r="AV14" i="15"/>
  <c r="AV10" i="15"/>
  <c r="AW89" i="15"/>
  <c r="AW85" i="15"/>
  <c r="AW81" i="15"/>
  <c r="AW77" i="15"/>
  <c r="AW69" i="15"/>
  <c r="AW61" i="15"/>
  <c r="AW57" i="15"/>
  <c r="AW53" i="15"/>
  <c r="AW49" i="15"/>
  <c r="AW45" i="15"/>
  <c r="AW41" i="15"/>
  <c r="AW33" i="15"/>
  <c r="AW29" i="15"/>
  <c r="AW25" i="15"/>
  <c r="AW17" i="15"/>
  <c r="AW13" i="15"/>
  <c r="AW9" i="15"/>
  <c r="BC87" i="15"/>
  <c r="BC83" i="15"/>
  <c r="BC71" i="15"/>
  <c r="BC67" i="15"/>
  <c r="BC63" i="15"/>
  <c r="BC51" i="15"/>
  <c r="BC47" i="15"/>
  <c r="BC43" i="15"/>
  <c r="BC39" i="15"/>
  <c r="BC35" i="15"/>
  <c r="BC23" i="15"/>
  <c r="BC19" i="15"/>
  <c r="BC15" i="15"/>
  <c r="BC86" i="15"/>
  <c r="BC74" i="15"/>
  <c r="BC70" i="15"/>
  <c r="BC66" i="15"/>
  <c r="BC54" i="15"/>
  <c r="BC38" i="15"/>
  <c r="BC22" i="15"/>
  <c r="BC6" i="15"/>
  <c r="BC85" i="15"/>
  <c r="BC69" i="15"/>
  <c r="BC53" i="15"/>
  <c r="BC37" i="15"/>
  <c r="BC21" i="15"/>
  <c r="BF90" i="15"/>
  <c r="BH4" i="15"/>
  <c r="BG90" i="15"/>
  <c r="BC7" i="15"/>
  <c r="AZ90" i="15"/>
  <c r="BH83" i="15"/>
  <c r="BH71" i="15"/>
  <c r="BH55" i="15"/>
  <c r="BH39" i="15"/>
  <c r="BH23" i="15"/>
  <c r="BH7" i="15"/>
  <c r="BE90" i="15"/>
  <c r="BH78" i="15"/>
  <c r="BH62" i="15"/>
  <c r="BH42" i="15"/>
  <c r="BH30" i="15"/>
  <c r="BH10" i="15"/>
  <c r="BH89" i="15"/>
  <c r="BH73" i="15"/>
  <c r="BH53" i="15"/>
  <c r="BH37" i="15"/>
  <c r="BH21" i="15"/>
  <c r="BH5" i="15"/>
  <c r="E64" i="15"/>
  <c r="N83" i="13"/>
  <c r="E66" i="15"/>
  <c r="N70" i="13"/>
  <c r="AH38" i="15" s="1"/>
  <c r="E38" i="15"/>
  <c r="E83" i="15"/>
  <c r="E47" i="15"/>
  <c r="E60" i="15"/>
  <c r="N71" i="13"/>
  <c r="E76" i="15"/>
  <c r="E62" i="15"/>
  <c r="N56" i="13"/>
  <c r="AH62" i="15" s="1"/>
  <c r="N88" i="13"/>
  <c r="N53" i="13"/>
  <c r="M80" i="13"/>
  <c r="AE47" i="15" s="1"/>
  <c r="B45" i="7"/>
  <c r="B36" i="7"/>
  <c r="Q5" i="4"/>
  <c r="K5" i="4"/>
  <c r="I9" i="4"/>
  <c r="Q9" i="4"/>
  <c r="U6" i="4"/>
  <c r="Q43" i="12"/>
  <c r="E15" i="4"/>
  <c r="U14" i="4"/>
  <c r="Q35" i="12"/>
  <c r="U10" i="4"/>
  <c r="Q23" i="12"/>
  <c r="U18" i="4"/>
  <c r="Q47" i="12"/>
  <c r="E11" i="4"/>
  <c r="Q7" i="12"/>
  <c r="F15" i="7" l="1"/>
  <c r="F16" i="7"/>
  <c r="W6" i="12"/>
  <c r="P5" i="18" s="1"/>
  <c r="E4" i="18"/>
  <c r="M4" i="18"/>
  <c r="N4" i="18" s="1"/>
  <c r="U4" i="18"/>
  <c r="L5" i="18"/>
  <c r="R4" i="18"/>
  <c r="G26" i="5"/>
  <c r="W42" i="15"/>
  <c r="AB65" i="15"/>
  <c r="F30" i="3"/>
  <c r="G12" i="5"/>
  <c r="R6" i="17"/>
  <c r="T49" i="15"/>
  <c r="F28" i="3"/>
  <c r="F12" i="7"/>
  <c r="F19" i="3"/>
  <c r="F26" i="3"/>
  <c r="G27" i="5"/>
  <c r="R16" i="17"/>
  <c r="F9" i="7"/>
  <c r="F26" i="7"/>
  <c r="F30" i="7"/>
  <c r="R9" i="18"/>
  <c r="R6" i="18"/>
  <c r="P4" i="18"/>
  <c r="E28" i="15"/>
  <c r="N50" i="13"/>
  <c r="AH28" i="15" s="1"/>
  <c r="N33" i="13"/>
  <c r="AH31" i="15" s="1"/>
  <c r="E31" i="15"/>
  <c r="P11" i="18"/>
  <c r="A9" i="7"/>
  <c r="A11" i="7"/>
  <c r="F10" i="7"/>
  <c r="A12" i="7"/>
  <c r="F22" i="7"/>
  <c r="F31" i="7"/>
  <c r="F43" i="7"/>
  <c r="F44" i="7"/>
  <c r="F11" i="7"/>
  <c r="F13" i="7"/>
  <c r="A13" i="7"/>
  <c r="AE36" i="15"/>
  <c r="AE32" i="15"/>
  <c r="AE89" i="15"/>
  <c r="F8" i="7"/>
  <c r="F24" i="7"/>
  <c r="F25" i="7"/>
  <c r="AE55" i="15"/>
  <c r="AE88" i="15"/>
  <c r="F21" i="7"/>
  <c r="F42" i="7"/>
  <c r="F23" i="7"/>
  <c r="F27" i="7"/>
  <c r="AE14" i="15"/>
  <c r="W8" i="15"/>
  <c r="W4" i="15"/>
  <c r="W14" i="15"/>
  <c r="W22" i="15"/>
  <c r="H8" i="4" s="1"/>
  <c r="W56" i="15"/>
  <c r="L18" i="4"/>
  <c r="N4" i="4"/>
  <c r="L4" i="4"/>
  <c r="W74" i="15"/>
  <c r="W18" i="15"/>
  <c r="R15" i="17"/>
  <c r="R10" i="17"/>
  <c r="R11" i="17"/>
  <c r="R14" i="17"/>
  <c r="R7" i="17"/>
  <c r="P6" i="17"/>
  <c r="P11" i="17"/>
  <c r="P15" i="17"/>
  <c r="P9" i="17"/>
  <c r="P7" i="17"/>
  <c r="AN63" i="15"/>
  <c r="N17" i="17"/>
  <c r="AN13" i="15"/>
  <c r="G29" i="5"/>
  <c r="G31" i="5"/>
  <c r="G20" i="5"/>
  <c r="G32" i="5"/>
  <c r="G14" i="5"/>
  <c r="G22" i="5"/>
  <c r="G23" i="5"/>
  <c r="G24" i="5"/>
  <c r="G28" i="5"/>
  <c r="G10" i="5"/>
  <c r="G15" i="5"/>
  <c r="AB81" i="15"/>
  <c r="G19" i="5"/>
  <c r="G8" i="5"/>
  <c r="G7" i="5"/>
  <c r="G25" i="5"/>
  <c r="G30" i="5"/>
  <c r="G17" i="5"/>
  <c r="G21" i="5"/>
  <c r="G13" i="5"/>
  <c r="G11" i="5"/>
  <c r="G4" i="5"/>
  <c r="G16" i="5"/>
  <c r="G18" i="5"/>
  <c r="G5" i="5"/>
  <c r="G9" i="5"/>
  <c r="G6" i="5"/>
  <c r="AB7" i="15"/>
  <c r="AB89" i="15"/>
  <c r="AB64" i="15"/>
  <c r="AB32" i="15"/>
  <c r="AB43" i="15"/>
  <c r="AB79" i="15"/>
  <c r="AB72" i="15"/>
  <c r="AB85" i="15"/>
  <c r="F32" i="3"/>
  <c r="F23" i="3"/>
  <c r="F33" i="3"/>
  <c r="F31" i="3"/>
  <c r="F29" i="3"/>
  <c r="F18" i="3"/>
  <c r="T45" i="15"/>
  <c r="T73" i="15"/>
  <c r="T4" i="15"/>
  <c r="E13" i="3" s="1"/>
  <c r="G13" i="3" s="1"/>
  <c r="F21" i="3"/>
  <c r="T30" i="15"/>
  <c r="F24" i="3"/>
  <c r="F25" i="3"/>
  <c r="F34" i="3" s="1"/>
  <c r="E19" i="3"/>
  <c r="G19" i="3" s="1"/>
  <c r="P13" i="17"/>
  <c r="AH77" i="15"/>
  <c r="AH63" i="15"/>
  <c r="AH76" i="15"/>
  <c r="AH74" i="15"/>
  <c r="AH18" i="15"/>
  <c r="AH55" i="15"/>
  <c r="AH88" i="15"/>
  <c r="AH89" i="15"/>
  <c r="AH52" i="15"/>
  <c r="AH21" i="15"/>
  <c r="AH64" i="15"/>
  <c r="E10" i="3"/>
  <c r="G10" i="3" s="1"/>
  <c r="E17" i="3"/>
  <c r="G17" i="3" s="1"/>
  <c r="AE49" i="15"/>
  <c r="AH66" i="15"/>
  <c r="AV5" i="15"/>
  <c r="AV90" i="15" s="1"/>
  <c r="AU5" i="15"/>
  <c r="AW3" i="15"/>
  <c r="AW90" i="15" s="1"/>
  <c r="AU3" i="15"/>
  <c r="F9" i="5"/>
  <c r="H9" i="5" s="1"/>
  <c r="F12" i="5"/>
  <c r="H12" i="5" s="1"/>
  <c r="J5" i="4"/>
  <c r="F16" i="5"/>
  <c r="H16" i="5" s="1"/>
  <c r="P16" i="17"/>
  <c r="P14" i="17"/>
  <c r="P12" i="17"/>
  <c r="A35" i="7"/>
  <c r="A20" i="7"/>
  <c r="A31" i="7"/>
  <c r="A19" i="7"/>
  <c r="A26" i="7"/>
  <c r="A28" i="7"/>
  <c r="A16" i="7"/>
  <c r="A24" i="7"/>
  <c r="A22" i="7"/>
  <c r="A23" i="7"/>
  <c r="A17" i="7"/>
  <c r="A14" i="7"/>
  <c r="F14" i="7"/>
  <c r="A34" i="7"/>
  <c r="A21" i="7"/>
  <c r="A33" i="7"/>
  <c r="A15" i="7"/>
  <c r="A32" i="7"/>
  <c r="A25" i="7"/>
  <c r="A29" i="7"/>
  <c r="A30" i="7"/>
  <c r="A18" i="7"/>
  <c r="A27" i="7"/>
  <c r="P10" i="17"/>
  <c r="P8" i="17"/>
  <c r="F32" i="7"/>
  <c r="F41" i="7"/>
  <c r="F29" i="7"/>
  <c r="F19" i="7"/>
  <c r="F28" i="7"/>
  <c r="F17" i="7"/>
  <c r="F20" i="7"/>
  <c r="F18" i="7"/>
  <c r="F34" i="7"/>
  <c r="F40" i="7"/>
  <c r="F4" i="7"/>
  <c r="F38" i="7"/>
  <c r="P5" i="17"/>
  <c r="F20" i="5"/>
  <c r="H20" i="5" s="1"/>
  <c r="H4" i="4"/>
  <c r="F28" i="5"/>
  <c r="H28" i="5" s="1"/>
  <c r="F15" i="5"/>
  <c r="H15" i="5" s="1"/>
  <c r="F10" i="4"/>
  <c r="F26" i="5"/>
  <c r="H26" i="5" s="1"/>
  <c r="BC90" i="15"/>
  <c r="AR90" i="15"/>
  <c r="AT90" i="15"/>
  <c r="X90" i="15"/>
  <c r="F18" i="5"/>
  <c r="H18" i="5" s="1"/>
  <c r="AS90" i="15"/>
  <c r="AC90" i="15"/>
  <c r="Z90" i="15"/>
  <c r="BH90" i="15"/>
  <c r="Y90" i="15"/>
  <c r="P10" i="4"/>
  <c r="L15" i="4"/>
  <c r="P16" i="4"/>
  <c r="L16" i="4"/>
  <c r="P5" i="4"/>
  <c r="P8" i="4"/>
  <c r="L5" i="4"/>
  <c r="L8" i="4"/>
  <c r="P18" i="4"/>
  <c r="F11" i="4"/>
  <c r="P15" i="4"/>
  <c r="P6" i="4"/>
  <c r="H15" i="4"/>
  <c r="L12" i="4"/>
  <c r="L11" i="4"/>
  <c r="L9" i="4"/>
  <c r="L17" i="4"/>
  <c r="L6" i="4"/>
  <c r="L13" i="4"/>
  <c r="P4" i="4"/>
  <c r="P11" i="4"/>
  <c r="A39" i="7"/>
  <c r="A41" i="7"/>
  <c r="A45" i="7"/>
  <c r="A37" i="7"/>
  <c r="A44" i="7"/>
  <c r="A36" i="7"/>
  <c r="F36" i="7"/>
  <c r="A42" i="7"/>
  <c r="A43" i="7"/>
  <c r="A40" i="7"/>
  <c r="A38" i="7"/>
  <c r="L10" i="4"/>
  <c r="P14" i="4"/>
  <c r="P17" i="4"/>
  <c r="P7" i="4"/>
  <c r="P13" i="4"/>
  <c r="N6" i="4"/>
  <c r="N13" i="4"/>
  <c r="N10" i="4"/>
  <c r="N5" i="4"/>
  <c r="N16" i="4"/>
  <c r="N12" i="4"/>
  <c r="N11" i="4"/>
  <c r="N17" i="4"/>
  <c r="N7" i="4"/>
  <c r="N18" i="4"/>
  <c r="N8" i="4"/>
  <c r="N14" i="4"/>
  <c r="N15" i="4"/>
  <c r="N9" i="4"/>
  <c r="L14" i="4"/>
  <c r="P12" i="4"/>
  <c r="P9" i="4"/>
  <c r="L7" i="4"/>
  <c r="F45" i="7"/>
  <c r="E6" i="7"/>
  <c r="G6" i="7" s="1"/>
  <c r="E4" i="7"/>
  <c r="G4" i="7" s="1"/>
  <c r="F22" i="5" l="1"/>
  <c r="H22" i="5" s="1"/>
  <c r="F5" i="4"/>
  <c r="X7" i="17"/>
  <c r="R5" i="18"/>
  <c r="T4" i="17"/>
  <c r="L11" i="18"/>
  <c r="N5" i="18"/>
  <c r="AU90" i="15"/>
  <c r="E21" i="3"/>
  <c r="G21" i="3" s="1"/>
  <c r="E28" i="3"/>
  <c r="G28" i="3" s="1"/>
  <c r="R17" i="17"/>
  <c r="T5" i="17"/>
  <c r="T15" i="17"/>
  <c r="T14" i="17"/>
  <c r="V11" i="17"/>
  <c r="T8" i="17"/>
  <c r="X16" i="17"/>
  <c r="L6" i="18"/>
  <c r="T16" i="17"/>
  <c r="E23" i="3"/>
  <c r="G23" i="3" s="1"/>
  <c r="E18" i="3"/>
  <c r="G18" i="3" s="1"/>
  <c r="G33" i="5"/>
  <c r="X5" i="17"/>
  <c r="X11" i="17"/>
  <c r="V12" i="17"/>
  <c r="T13" i="17"/>
  <c r="X13" i="17"/>
  <c r="X9" i="17"/>
  <c r="E11" i="7"/>
  <c r="G11" i="7" s="1"/>
  <c r="T12" i="17"/>
  <c r="X8" i="17"/>
  <c r="V10" i="17"/>
  <c r="T11" i="17"/>
  <c r="X12" i="17"/>
  <c r="V6" i="17"/>
  <c r="P8" i="18"/>
  <c r="N6" i="18"/>
  <c r="P9" i="18"/>
  <c r="N10" i="18"/>
  <c r="P10" i="18"/>
  <c r="L9" i="18"/>
  <c r="L7" i="18"/>
  <c r="N11" i="18"/>
  <c r="L8" i="18"/>
  <c r="L10" i="18"/>
  <c r="P6" i="18"/>
  <c r="P12" i="18" s="1"/>
  <c r="R10" i="18"/>
  <c r="N7" i="18"/>
  <c r="R11" i="18"/>
  <c r="N8" i="18"/>
  <c r="R8" i="18"/>
  <c r="N9" i="18"/>
  <c r="R7" i="18"/>
  <c r="R12" i="18" s="1"/>
  <c r="P7" i="18"/>
  <c r="V4" i="17"/>
  <c r="X4" i="17"/>
  <c r="T9" i="17"/>
  <c r="X6" i="17"/>
  <c r="T6" i="17"/>
  <c r="F8" i="18"/>
  <c r="D8" i="18"/>
  <c r="J8" i="18"/>
  <c r="Z8" i="18" s="1"/>
  <c r="D4" i="18"/>
  <c r="J10" i="18"/>
  <c r="Z10" i="18" s="1"/>
  <c r="J9" i="18"/>
  <c r="Z9" i="18" s="1"/>
  <c r="D5" i="18"/>
  <c r="T5" i="18" s="1"/>
  <c r="J5" i="18"/>
  <c r="Z5" i="18" s="1"/>
  <c r="F7" i="18"/>
  <c r="V7" i="18" s="1"/>
  <c r="F11" i="18"/>
  <c r="V11" i="18" s="1"/>
  <c r="H10" i="18"/>
  <c r="X10" i="18" s="1"/>
  <c r="H9" i="18"/>
  <c r="H7" i="18"/>
  <c r="H11" i="18"/>
  <c r="X11" i="18" s="1"/>
  <c r="D11" i="18"/>
  <c r="T11" i="18" s="1"/>
  <c r="F5" i="18"/>
  <c r="V5" i="18" s="1"/>
  <c r="J6" i="18"/>
  <c r="Z6" i="18" s="1"/>
  <c r="D10" i="18"/>
  <c r="T10" i="18" s="1"/>
  <c r="F6" i="18"/>
  <c r="V6" i="18" s="1"/>
  <c r="J7" i="18"/>
  <c r="Z7" i="18" s="1"/>
  <c r="H4" i="18"/>
  <c r="H5" i="18"/>
  <c r="X5" i="18" s="1"/>
  <c r="D6" i="18"/>
  <c r="T6" i="18" s="1"/>
  <c r="F4" i="18"/>
  <c r="J11" i="18"/>
  <c r="Z11" i="18" s="1"/>
  <c r="F10" i="18"/>
  <c r="V10" i="18" s="1"/>
  <c r="D9" i="18"/>
  <c r="T9" i="18" s="1"/>
  <c r="F9" i="18"/>
  <c r="V9" i="18" s="1"/>
  <c r="H6" i="18"/>
  <c r="X6" i="18" s="1"/>
  <c r="J4" i="18"/>
  <c r="Z4" i="18" s="1"/>
  <c r="H8" i="18"/>
  <c r="X8" i="18" s="1"/>
  <c r="D7" i="18"/>
  <c r="T7" i="18" s="1"/>
  <c r="E33" i="7"/>
  <c r="G33" i="7" s="1"/>
  <c r="E34" i="7"/>
  <c r="E24" i="7"/>
  <c r="G24" i="7" s="1"/>
  <c r="E45" i="7"/>
  <c r="E16" i="7"/>
  <c r="G16" i="7" s="1"/>
  <c r="E17" i="7"/>
  <c r="E15" i="7"/>
  <c r="G15" i="7" s="1"/>
  <c r="E29" i="7"/>
  <c r="G29" i="7" s="1"/>
  <c r="E19" i="7"/>
  <c r="G19" i="7" s="1"/>
  <c r="E20" i="7"/>
  <c r="G20" i="7" s="1"/>
  <c r="E43" i="7"/>
  <c r="G43" i="7" s="1"/>
  <c r="E10" i="7"/>
  <c r="G10" i="7" s="1"/>
  <c r="E35" i="7"/>
  <c r="G35" i="7" s="1"/>
  <c r="E14" i="7"/>
  <c r="G14" i="7" s="1"/>
  <c r="E38" i="7"/>
  <c r="E31" i="7"/>
  <c r="G31" i="7" s="1"/>
  <c r="E9" i="7"/>
  <c r="G9" i="7" s="1"/>
  <c r="E22" i="7"/>
  <c r="G22" i="7" s="1"/>
  <c r="E12" i="7"/>
  <c r="G12" i="7" s="1"/>
  <c r="E23" i="7"/>
  <c r="G23" i="7" s="1"/>
  <c r="E32" i="7"/>
  <c r="G32" i="7" s="1"/>
  <c r="E28" i="7"/>
  <c r="E44" i="7"/>
  <c r="G44" i="7" s="1"/>
  <c r="E42" i="7"/>
  <c r="G42" i="7" s="1"/>
  <c r="E26" i="7"/>
  <c r="G26" i="7" s="1"/>
  <c r="E3" i="7"/>
  <c r="E5" i="7"/>
  <c r="G5" i="7" s="1"/>
  <c r="E36" i="7"/>
  <c r="G36" i="7" s="1"/>
  <c r="E18" i="7"/>
  <c r="G18" i="7" s="1"/>
  <c r="E8" i="7"/>
  <c r="G8" i="7" s="1"/>
  <c r="E27" i="7"/>
  <c r="G27" i="7" s="1"/>
  <c r="E39" i="7"/>
  <c r="G39" i="7" s="1"/>
  <c r="E25" i="7"/>
  <c r="G25" i="7" s="1"/>
  <c r="E13" i="7"/>
  <c r="G13" i="7" s="1"/>
  <c r="G38" i="7"/>
  <c r="G34" i="7"/>
  <c r="G28" i="7"/>
  <c r="E40" i="7"/>
  <c r="G40" i="7" s="1"/>
  <c r="G17" i="7"/>
  <c r="E30" i="7"/>
  <c r="G30" i="7" s="1"/>
  <c r="E7" i="7"/>
  <c r="G7" i="7" s="1"/>
  <c r="E37" i="7"/>
  <c r="G37" i="7" s="1"/>
  <c r="E41" i="7"/>
  <c r="G41" i="7" s="1"/>
  <c r="E21" i="7"/>
  <c r="G21" i="7" s="1"/>
  <c r="J11" i="4"/>
  <c r="F15" i="4"/>
  <c r="H9" i="4"/>
  <c r="J7" i="4"/>
  <c r="F9" i="4"/>
  <c r="F16" i="4"/>
  <c r="H5" i="4"/>
  <c r="J12" i="4"/>
  <c r="V12" i="4" s="1"/>
  <c r="J15" i="4"/>
  <c r="H11" i="4"/>
  <c r="F8" i="4"/>
  <c r="L19" i="4"/>
  <c r="F6" i="4"/>
  <c r="R6" i="4" s="1"/>
  <c r="F4" i="4"/>
  <c r="R4" i="4" s="1"/>
  <c r="F17" i="4"/>
  <c r="R17" i="4" s="1"/>
  <c r="J13" i="4"/>
  <c r="F18" i="4"/>
  <c r="R18" i="4" s="1"/>
  <c r="J10" i="4"/>
  <c r="V10" i="4" s="1"/>
  <c r="H13" i="4"/>
  <c r="T13" i="4" s="1"/>
  <c r="H10" i="4"/>
  <c r="F13" i="4"/>
  <c r="R13" i="4" s="1"/>
  <c r="H14" i="4"/>
  <c r="T14" i="4" s="1"/>
  <c r="J9" i="4"/>
  <c r="V9" i="4" s="1"/>
  <c r="J14" i="4"/>
  <c r="H12" i="4"/>
  <c r="T12" i="4" s="1"/>
  <c r="F7" i="4"/>
  <c r="R7" i="4" s="1"/>
  <c r="H6" i="4"/>
  <c r="T6" i="4" s="1"/>
  <c r="J6" i="4"/>
  <c r="J18" i="4"/>
  <c r="V18" i="4" s="1"/>
  <c r="H18" i="4"/>
  <c r="T18" i="4" s="1"/>
  <c r="J4" i="4"/>
  <c r="F12" i="4"/>
  <c r="R12" i="4" s="1"/>
  <c r="H16" i="4"/>
  <c r="T16" i="4" s="1"/>
  <c r="H7" i="4"/>
  <c r="T7" i="4" s="1"/>
  <c r="J17" i="4"/>
  <c r="V17" i="4" s="1"/>
  <c r="F14" i="4"/>
  <c r="J8" i="4"/>
  <c r="V8" i="4" s="1"/>
  <c r="H17" i="4"/>
  <c r="T17" i="4" s="1"/>
  <c r="J16" i="4"/>
  <c r="V16" i="4" s="1"/>
  <c r="V6" i="4"/>
  <c r="X14" i="17"/>
  <c r="V15" i="17"/>
  <c r="V9" i="17"/>
  <c r="V7" i="17"/>
  <c r="V14" i="17"/>
  <c r="V13" i="17"/>
  <c r="T7" i="17"/>
  <c r="T10" i="17"/>
  <c r="X10" i="17"/>
  <c r="X15" i="17"/>
  <c r="F30" i="5"/>
  <c r="H30" i="5" s="1"/>
  <c r="F4" i="5"/>
  <c r="H4" i="5" s="1"/>
  <c r="F6" i="5"/>
  <c r="H6" i="5" s="1"/>
  <c r="F8" i="5"/>
  <c r="H8" i="5" s="1"/>
  <c r="F5" i="5"/>
  <c r="H5" i="5" s="1"/>
  <c r="F31" i="5"/>
  <c r="H31" i="5" s="1"/>
  <c r="F19" i="5"/>
  <c r="H19" i="5" s="1"/>
  <c r="F24" i="5"/>
  <c r="H24" i="5" s="1"/>
  <c r="F32" i="5"/>
  <c r="H32" i="5" s="1"/>
  <c r="F17" i="5"/>
  <c r="H17" i="5" s="1"/>
  <c r="F21" i="5"/>
  <c r="H21" i="5" s="1"/>
  <c r="I21" i="5" s="1"/>
  <c r="F3" i="5"/>
  <c r="H3" i="5" s="1"/>
  <c r="F25" i="5"/>
  <c r="H25" i="5" s="1"/>
  <c r="F7" i="5"/>
  <c r="H7" i="5" s="1"/>
  <c r="F23" i="5"/>
  <c r="H23" i="5" s="1"/>
  <c r="F11" i="5"/>
  <c r="H11" i="5" s="1"/>
  <c r="F27" i="5"/>
  <c r="H27" i="5" s="1"/>
  <c r="I27" i="5" s="1"/>
  <c r="F14" i="5"/>
  <c r="H14" i="5" s="1"/>
  <c r="F29" i="5"/>
  <c r="H29" i="5" s="1"/>
  <c r="F13" i="5"/>
  <c r="H13" i="5" s="1"/>
  <c r="I12" i="5" s="1"/>
  <c r="F10" i="5"/>
  <c r="H10" i="5" s="1"/>
  <c r="I9" i="5" s="1"/>
  <c r="E8" i="3"/>
  <c r="G8" i="3" s="1"/>
  <c r="E14" i="3"/>
  <c r="G14" i="3" s="1"/>
  <c r="E9" i="3"/>
  <c r="G9" i="3" s="1"/>
  <c r="E6" i="3"/>
  <c r="G6" i="3" s="1"/>
  <c r="E31" i="3"/>
  <c r="G31" i="3" s="1"/>
  <c r="E16" i="3"/>
  <c r="G16" i="3" s="1"/>
  <c r="E11" i="3"/>
  <c r="G11" i="3" s="1"/>
  <c r="E27" i="3"/>
  <c r="G27" i="3" s="1"/>
  <c r="E32" i="3"/>
  <c r="G32" i="3" s="1"/>
  <c r="E3" i="3"/>
  <c r="E25" i="3"/>
  <c r="G25" i="3" s="1"/>
  <c r="E30" i="3"/>
  <c r="G30" i="3" s="1"/>
  <c r="E24" i="3"/>
  <c r="G24" i="3" s="1"/>
  <c r="E4" i="3"/>
  <c r="G4" i="3" s="1"/>
  <c r="E5" i="3"/>
  <c r="G5" i="3" s="1"/>
  <c r="E29" i="3"/>
  <c r="G29" i="3" s="1"/>
  <c r="E15" i="3"/>
  <c r="G15" i="3" s="1"/>
  <c r="E26" i="3"/>
  <c r="G26" i="3" s="1"/>
  <c r="E22" i="3"/>
  <c r="G22" i="3" s="1"/>
  <c r="E7" i="3"/>
  <c r="G7" i="3" s="1"/>
  <c r="E20" i="3"/>
  <c r="G20" i="3" s="1"/>
  <c r="E33" i="3"/>
  <c r="G33" i="3" s="1"/>
  <c r="E12" i="3"/>
  <c r="G12" i="3" s="1"/>
  <c r="P19" i="4"/>
  <c r="R5" i="4"/>
  <c r="V15" i="4"/>
  <c r="R16" i="4"/>
  <c r="V5" i="4"/>
  <c r="N19" i="4"/>
  <c r="R8" i="4"/>
  <c r="V16" i="17"/>
  <c r="V13" i="4"/>
  <c r="R14" i="4"/>
  <c r="R10" i="4"/>
  <c r="I18" i="5"/>
  <c r="T10" i="4"/>
  <c r="V14" i="4"/>
  <c r="I15" i="5"/>
  <c r="T8" i="4"/>
  <c r="T4" i="4"/>
  <c r="J17" i="17"/>
  <c r="T9" i="4"/>
  <c r="R9" i="4"/>
  <c r="T11" i="4"/>
  <c r="V8" i="17"/>
  <c r="G45" i="7"/>
  <c r="V5" i="17"/>
  <c r="P17" i="17"/>
  <c r="V7" i="4"/>
  <c r="T5" i="4"/>
  <c r="F46" i="7"/>
  <c r="X4" i="18"/>
  <c r="T15" i="4"/>
  <c r="R11" i="4"/>
  <c r="T4" i="18"/>
  <c r="V11" i="4"/>
  <c r="G3" i="7"/>
  <c r="R15" i="4"/>
  <c r="T17" i="17" l="1"/>
  <c r="H33" i="5"/>
  <c r="I24" i="5"/>
  <c r="I6" i="5"/>
  <c r="T8" i="18"/>
  <c r="N12" i="18"/>
  <c r="X17" i="17"/>
  <c r="X7" i="18"/>
  <c r="V8" i="18"/>
  <c r="F12" i="18"/>
  <c r="X9" i="18"/>
  <c r="L12" i="18"/>
  <c r="Z12" i="18"/>
  <c r="V4" i="18"/>
  <c r="V12" i="18"/>
  <c r="T12" i="18"/>
  <c r="J12" i="18"/>
  <c r="H12" i="18"/>
  <c r="D12" i="18"/>
  <c r="X12" i="18"/>
  <c r="E46" i="7"/>
  <c r="F19" i="4"/>
  <c r="J19" i="4"/>
  <c r="V4" i="4"/>
  <c r="V19" i="4" s="1"/>
  <c r="H19" i="4"/>
  <c r="H17" i="17"/>
  <c r="L17" i="17"/>
  <c r="F33" i="5"/>
  <c r="I3" i="5"/>
  <c r="I30" i="5"/>
  <c r="E34" i="3"/>
  <c r="G3" i="3"/>
  <c r="G34" i="3" s="1"/>
  <c r="I33" i="5"/>
  <c r="G46" i="7"/>
  <c r="V17" i="17"/>
  <c r="R19" i="4"/>
  <c r="T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3" authorId="0" shapeId="0" xr:uid="{D679CCA7-02B2-4B2E-A48E-88628561F1C1}">
      <text/>
    </comment>
    <comment ref="A4" authorId="0" shapeId="0" xr:uid="{417B313B-12AD-4B8B-80FD-E9633926FEB4}">
      <text/>
    </comment>
    <comment ref="A5" authorId="0" shapeId="0" xr:uid="{0F439D38-2F85-4051-97E2-13EA7B816378}">
      <text/>
    </comment>
    <comment ref="A6" authorId="0" shapeId="0" xr:uid="{56F08745-0AB5-4AE6-9AD1-3FBE8CED2893}">
      <text/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9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</futureMetadata>
  <valueMetadata count="89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</valueMetadata>
</metadata>
</file>

<file path=xl/sharedStrings.xml><?xml version="1.0" encoding="utf-8"?>
<sst xmlns="http://schemas.openxmlformats.org/spreadsheetml/2006/main" count="1473" uniqueCount="867">
  <si>
    <t>World Boss</t>
  </si>
  <si>
    <t>boss1</t>
  </si>
  <si>
    <t>Book Region</t>
  </si>
  <si>
    <t>natlan</t>
  </si>
  <si>
    <t>Weekly Boss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</si>
  <si>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</si>
  <si>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</si>
  <si>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</si>
  <si>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</si>
  <si>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</si>
  <si>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</si>
  <si>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</si>
  <si>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</si>
  <si>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</si>
  <si>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</si>
  <si>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</si>
  <si>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</si>
  <si>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</si>
  <si>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</si>
  <si>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</si>
  <si>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</si>
  <si>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</si>
  <si>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</si>
  <si>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</si>
  <si>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</si>
  <si>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</si>
  <si>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</si>
  <si>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</si>
  <si>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</si>
  <si>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</si>
  <si>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</si>
  <si>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</si>
  <si>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</si>
  <si>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</si>
  <si>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</si>
  <si>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</si>
  <si>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</si>
  <si>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</si>
  <si>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</si>
  <si>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</si>
  <si>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</si>
  <si>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</si>
  <si>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</si>
  <si>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</si>
  <si>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</si>
  <si>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</si>
  <si>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</si>
  <si>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</si>
  <si>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</si>
  <si>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</si>
  <si>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</si>
  <si>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</si>
  <si>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LocalSpecialties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</si>
  <si>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</si>
  <si>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</si>
  <si>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</si>
  <si>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</si>
  <si>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</si>
  <si>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</si>
  <si>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</si>
  <si>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</si>
  <si>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</si>
  <si>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</si>
  <si>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</si>
  <si>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</si>
  <si>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</si>
  <si>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</si>
  <si>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Monster Materials</t>
  </si>
  <si>
    <t>Talent Books</t>
  </si>
  <si>
    <t>Gems</t>
  </si>
  <si>
    <t>Misc.</t>
  </si>
  <si>
    <t>Billets</t>
  </si>
  <si>
    <t>Elements</t>
  </si>
  <si>
    <t>Weapons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</si>
  <si>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</si>
  <si>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</si>
  <si>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</si>
  <si>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</si>
  <si>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</si>
  <si>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</si>
  <si>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</si>
  <si>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</si>
  <si>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</si>
  <si>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</si>
  <si>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</si>
  <si>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</si>
  <si>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</si>
  <si>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</si>
  <si>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</si>
  <si>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</si>
  <si>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sword</t>
  </si>
  <si>
    <t>anemo</t>
  </si>
  <si>
    <t>Absolution</t>
  </si>
  <si>
    <t>TileofDecarabiansTower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</si>
  <si>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</si>
  <si>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</si>
  <si>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</si>
  <si>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</si>
  <si>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</si>
  <si>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</si>
  <si>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</si>
  <si>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</si>
  <si>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CrownofInsight</t>
  </si>
  <si>
    <t>claymore</t>
  </si>
  <si>
    <t>geo</t>
  </si>
  <si>
    <t>Akuoumaru</t>
  </si>
  <si>
    <t>DebrisofDecarabiansCity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</si>
  <si>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</si>
  <si>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</si>
  <si>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</si>
  <si>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</si>
  <si>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</si>
  <si>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</si>
  <si>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</si>
  <si>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</si>
  <si>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resin</t>
  </si>
  <si>
    <t>polearm</t>
  </si>
  <si>
    <t>electro</t>
  </si>
  <si>
    <t>AlleyHunter</t>
  </si>
  <si>
    <t>FragmentofDecarabiansEpic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</si>
  <si>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</si>
  <si>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</si>
  <si>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</si>
  <si>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</si>
  <si>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</si>
  <si>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</si>
  <si>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</si>
  <si>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</si>
  <si>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</si>
  <si>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</si>
  <si>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characters</t>
  </si>
  <si>
    <t>bow</t>
  </si>
  <si>
    <t>dendro</t>
  </si>
  <si>
    <t>AmenomaKageuchi</t>
  </si>
  <si>
    <t>ScatteredPieceofDecarabiansDream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</si>
  <si>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</si>
  <si>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</si>
  <si>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</si>
  <si>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</si>
  <si>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</si>
  <si>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</si>
  <si>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</si>
  <si>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inventory</t>
  </si>
  <si>
    <t>catalyst</t>
  </si>
  <si>
    <t>hydro</t>
  </si>
  <si>
    <t>AmosBow</t>
  </si>
  <si>
    <t>BorealWolfsMilkTooth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</si>
  <si>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</si>
  <si>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</si>
  <si>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</si>
  <si>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</si>
  <si>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</si>
  <si>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</si>
  <si>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</si>
  <si>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options</t>
  </si>
  <si>
    <t>pyro</t>
  </si>
  <si>
    <t>AquaSimulacra</t>
  </si>
  <si>
    <t>BorealWolfsCrackedTooth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</si>
  <si>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</si>
  <si>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</si>
  <si>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</si>
  <si>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</si>
  <si>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</si>
  <si>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</si>
  <si>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</si>
  <si>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</si>
  <si>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</si>
  <si>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weapons</t>
  </si>
  <si>
    <t>cryo</t>
  </si>
  <si>
    <t>AquilaFavonia</t>
  </si>
  <si>
    <t>BorealWolfsBrokenFang</t>
  </si>
  <si>
    <t>KaedeharaKazuha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</si>
  <si>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</si>
  <si>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</si>
  <si>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</si>
  <si>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</si>
  <si>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</si>
  <si>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</si>
  <si>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AThousandFloatingDreams</t>
  </si>
  <si>
    <t>BorealWolfsNostalgia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</si>
  <si>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</si>
  <si>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</si>
  <si>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</si>
  <si>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</si>
  <si>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</si>
  <si>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</si>
  <si>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</si>
  <si>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BalladoftheBoundlessBlue</t>
  </si>
  <si>
    <t>FettersoftheDandelionGladiator</t>
  </si>
  <si>
    <t>KamisatoAyaka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</si>
  <si>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</si>
  <si>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</si>
  <si>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</si>
  <si>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</si>
  <si>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</si>
  <si>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</si>
  <si>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</si>
  <si>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</si>
  <si>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BalladoftheFjords</t>
  </si>
  <si>
    <t>ChainsoftheDandelionGladiator</t>
  </si>
  <si>
    <t>KamisatoAyato</t>
  </si>
  <si>
    <t>Pyro Hypostases</t>
  </si>
  <si>
    <t>SmolderingPearl</t>
  </si>
  <si>
    <t>GildedScale</t>
  </si>
  <si>
    <t>SlimeSecretions</t>
  </si>
  <si>
    <t>GuidetoGold</t>
  </si>
  <si>
    <t>GlazeLily</t>
  </si>
  <si>
    <t>BeaconoftheReedSea</t>
  </si>
  <si>
    <t>ShacklesoftheDandelionGladiator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</si>
  <si>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</si>
  <si>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</si>
  <si>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</si>
  <si>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</si>
  <si>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</si>
  <si>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</si>
  <si>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</si>
  <si>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BlackcliffAgate</t>
  </si>
  <si>
    <t>DreamoftheDandelionGladiator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</si>
  <si>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</si>
  <si>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</si>
  <si>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</si>
  <si>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</si>
  <si>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</si>
  <si>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</si>
  <si>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</si>
  <si>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</si>
  <si>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</si>
  <si>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BlackcliffLongsword</t>
  </si>
  <si>
    <t>LuminousSandsfromGuyun</t>
  </si>
  <si>
    <t>KukiShinobu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</si>
  <si>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</si>
  <si>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</si>
  <si>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</si>
  <si>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</si>
  <si>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</si>
  <si>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</si>
  <si>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BlackcliffPole</t>
  </si>
  <si>
    <t>LustrousStonefromGuyun</t>
  </si>
  <si>
    <t>Layla</t>
  </si>
  <si>
    <t>Bathysmal Vishap Herds</t>
  </si>
  <si>
    <t>DragonheirsFalseFin</t>
  </si>
  <si>
    <t>MoltenMoment</t>
  </si>
  <si>
    <t>GoldenRavenInsignia</t>
  </si>
  <si>
    <t>PhilosophiesofProsperity</t>
  </si>
  <si>
    <t>LakelightLily</t>
  </si>
  <si>
    <t>BlackcliffSlasher</t>
  </si>
  <si>
    <t>RelicfromGuyun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</si>
  <si>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</si>
  <si>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</si>
  <si>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</si>
  <si>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</si>
  <si>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</si>
  <si>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</si>
  <si>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</si>
  <si>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</si>
  <si>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</si>
  <si>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BlackcliffWarbow</t>
  </si>
  <si>
    <t>DivineBodyfromGuyun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</si>
  <si>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</si>
  <si>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</si>
  <si>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</si>
  <si>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</si>
  <si>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</si>
  <si>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</si>
  <si>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</si>
  <si>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BlackTassel</t>
  </si>
  <si>
    <t>MistVeiledLeadElixir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</si>
  <si>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</si>
  <si>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</si>
  <si>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</si>
  <si>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</si>
  <si>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</si>
  <si>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</si>
  <si>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</si>
  <si>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BloodtaintedGreatsword</t>
  </si>
  <si>
    <t>MistVeiledMercuryElixir</t>
  </si>
  <si>
    <t>TravelerAnemo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</si>
  <si>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</si>
  <si>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</si>
  <si>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</si>
  <si>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</si>
  <si>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</si>
  <si>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</si>
  <si>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</si>
  <si>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CalamityQueller</t>
  </si>
  <si>
    <t>MistVeiledGoldElixir</t>
  </si>
  <si>
    <t>TravelerGeo</t>
  </si>
  <si>
    <t>ASIMON</t>
  </si>
  <si>
    <t>LightGuidingTetrahedron</t>
  </si>
  <si>
    <t>DakasBell</t>
  </si>
  <si>
    <t>ShimmeringNectar</t>
  </si>
  <si>
    <t>GuidetoTransience</t>
  </si>
  <si>
    <t>NilotpalaLotus</t>
  </si>
  <si>
    <t>CashflowSupervision</t>
  </si>
  <si>
    <t>MistVeiledPrimoElixir</t>
  </si>
  <si>
    <t>TravelerElectro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</si>
  <si>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</si>
  <si>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</si>
  <si>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</si>
  <si>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</si>
  <si>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</si>
  <si>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</si>
  <si>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CinnabarSpindle</t>
  </si>
  <si>
    <t>GrainofAerosiderite</t>
  </si>
  <si>
    <t>TravelerDendro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</si>
  <si>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</si>
  <si>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</si>
  <si>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</si>
  <si>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</si>
  <si>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</si>
  <si>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</si>
  <si>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</si>
  <si>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</si>
  <si>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Cloudforged</t>
  </si>
  <si>
    <t>PieceofAerosiderite</t>
  </si>
  <si>
    <t>TravelerHydro</t>
  </si>
  <si>
    <t>Iniquitous Baptists</t>
  </si>
  <si>
    <t>EvergloomRing</t>
  </si>
  <si>
    <t>Everamber</t>
  </si>
  <si>
    <t>KageuchiHandguard</t>
  </si>
  <si>
    <t>GuidetoLight</t>
  </si>
  <si>
    <t>Padisarah</t>
  </si>
  <si>
    <t>CompoundBow</t>
  </si>
  <si>
    <t>BitofAerosiderite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</si>
  <si>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</si>
  <si>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</si>
  <si>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</si>
  <si>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</si>
  <si>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</si>
  <si>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</si>
  <si>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CoolSteel</t>
  </si>
  <si>
    <t>ChunkofAerosiderite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</si>
  <si>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</si>
  <si>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</si>
  <si>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</si>
  <si>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</si>
  <si>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</si>
  <si>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</si>
  <si>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</si>
  <si>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</si>
  <si>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CranesEchoingCall</t>
  </si>
  <si>
    <t>CoralBranchofaDistantSea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</si>
  <si>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</si>
  <si>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</si>
  <si>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</si>
  <si>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</si>
  <si>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</si>
  <si>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</si>
  <si>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</si>
  <si>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CrescentPike</t>
  </si>
  <si>
    <t>JeweledBranchofaDistantSea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</si>
  <si>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</si>
  <si>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</si>
  <si>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</si>
  <si>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</si>
  <si>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</si>
  <si>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</si>
  <si>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</si>
  <si>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CrimsonMoonsSemblance</t>
  </si>
  <si>
    <t>JadeBranchofaDistantSea</t>
  </si>
  <si>
    <t>Amber</t>
  </si>
  <si>
    <t>Millennial Pearl Seahorses</t>
  </si>
  <si>
    <t>FontemerUnihorn</t>
  </si>
  <si>
    <t>The Knave</t>
  </si>
  <si>
    <t>SilkenFeather</t>
  </si>
  <si>
    <t>Fungi</t>
  </si>
  <si>
    <t>FungalSpores</t>
  </si>
  <si>
    <t>TeachingsofIngenuity</t>
  </si>
  <si>
    <t>RukkhashavaMushrooms</t>
  </si>
  <si>
    <t>DarkIronSword</t>
  </si>
  <si>
    <t>GoldenBranchofaDistantSea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</si>
  <si>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</si>
  <si>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</si>
  <si>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</si>
  <si>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</si>
  <si>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</si>
  <si>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</si>
  <si>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</si>
  <si>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Deathmatch</t>
  </si>
  <si>
    <t>NarukamisWisdom</t>
  </si>
  <si>
    <t>Diona</t>
  </si>
  <si>
    <t>CloudseamScale</t>
  </si>
  <si>
    <t>FadingCandle</t>
  </si>
  <si>
    <t>CrystallineCystDust</t>
  </si>
  <si>
    <t>PhilosophiesofIngenuity</t>
  </si>
  <si>
    <t>SandGreasePupa</t>
  </si>
  <si>
    <t>DebateClub</t>
  </si>
  <si>
    <t>NarukamisJoy</t>
  </si>
  <si>
    <t>Faruzan</t>
  </si>
  <si>
    <t>Legatus Golem</t>
  </si>
  <si>
    <t>FragmentofaGoldenMelody</t>
  </si>
  <si>
    <t>FadedRedSatin</t>
  </si>
  <si>
    <t>TeachingsofAdmonition</t>
  </si>
  <si>
    <t>SangoPearl</t>
  </si>
  <si>
    <t>DialoguesoftheDesertSages</t>
  </si>
  <si>
    <t>NarukamisAffection</t>
  </si>
  <si>
    <t>Fischl</t>
  </si>
  <si>
    <t>TrimmedRedSilk</t>
  </si>
  <si>
    <t>GuidetoAdmonition</t>
  </si>
  <si>
    <t>Scarab</t>
  </si>
  <si>
    <t>DodocoTales</t>
  </si>
  <si>
    <t>NarukamisValor</t>
  </si>
  <si>
    <t>Ganyu</t>
  </si>
  <si>
    <t>RichRedBrocade</t>
  </si>
  <si>
    <t>PhilosophiesofAdmonition</t>
  </si>
  <si>
    <t>SeaGanoderma</t>
  </si>
  <si>
    <t>DragonsBane</t>
  </si>
  <si>
    <t>MaskoftheWickedLieutenant</t>
  </si>
  <si>
    <t>Gorou</t>
  </si>
  <si>
    <t>Fontemer Aberrant</t>
  </si>
  <si>
    <t>TransoceanicPearl</t>
  </si>
  <si>
    <t>TeachingsofPraxis</t>
  </si>
  <si>
    <t>SilkFlower</t>
  </si>
  <si>
    <t>DragonspineSpear</t>
  </si>
  <si>
    <t>MaskoftheTigersBite</t>
  </si>
  <si>
    <t>KujouSara</t>
  </si>
  <si>
    <t>TransoceanicChunk</t>
  </si>
  <si>
    <t>GuidetoPraxis</t>
  </si>
  <si>
    <t>SmallLampGrass</t>
  </si>
  <si>
    <t>ElegyfortheEnd</t>
  </si>
  <si>
    <t>MaskoftheOneHorned</t>
  </si>
  <si>
    <t>Lyney</t>
  </si>
  <si>
    <t>XenochromaticCrystal</t>
  </si>
  <si>
    <t>PhilosophiesofPraxis</t>
  </si>
  <si>
    <t>SpringoftheFirstDewdrop</t>
  </si>
  <si>
    <t>EmeraldOrb</t>
  </si>
  <si>
    <t>MaskoftheKijin</t>
  </si>
  <si>
    <t>Clockwork Meka</t>
  </si>
  <si>
    <t>MeshingGear</t>
  </si>
  <si>
    <t>TeachingsofJustice</t>
  </si>
  <si>
    <t>Starconch</t>
  </si>
  <si>
    <t>EndoftheLine</t>
  </si>
  <si>
    <t>CopperTalismanoftheForestDew</t>
  </si>
  <si>
    <t>Tartaglia</t>
  </si>
  <si>
    <t>MechanicalSpurGear</t>
  </si>
  <si>
    <t>GuidetoJustice</t>
  </si>
  <si>
    <t>SubdetectionUnit</t>
  </si>
  <si>
    <t>EngulfingLightning</t>
  </si>
  <si>
    <t>IronTalismanoftheForestDew</t>
  </si>
  <si>
    <t>Tighnari</t>
  </si>
  <si>
    <t>ArtificedDynamicGear</t>
  </si>
  <si>
    <t>PhilosophiesofJustice</t>
  </si>
  <si>
    <t>EverlastingMoonglow</t>
  </si>
  <si>
    <t>SilverTalismanoftheForestDew</t>
  </si>
  <si>
    <t>Venti</t>
  </si>
  <si>
    <t>TeachingsofOrder</t>
  </si>
  <si>
    <t>Valberry</t>
  </si>
  <si>
    <t>EyeofPerception</t>
  </si>
  <si>
    <t>GoldenTalismanoftheForestDew</t>
  </si>
  <si>
    <t>Yelan</t>
  </si>
  <si>
    <t>GuidetoOrder</t>
  </si>
  <si>
    <t>Violetgrass</t>
  </si>
  <si>
    <t>FadingTwilight</t>
  </si>
  <si>
    <t>OasisGardensReminiscence</t>
  </si>
  <si>
    <t>Yoimiya</t>
  </si>
  <si>
    <t>PhilosophiesofOrder</t>
  </si>
  <si>
    <t>WindwheelAster</t>
  </si>
  <si>
    <t>FavoniusCodex</t>
  </si>
  <si>
    <t>OasisGardensKindness</t>
  </si>
  <si>
    <t>AratakiItto</t>
  </si>
  <si>
    <t>TeachingsofEquity</t>
  </si>
  <si>
    <t>Wolfhook</t>
  </si>
  <si>
    <t>FavoniusGreatsword</t>
  </si>
  <si>
    <t>OasisGardensMourning</t>
  </si>
  <si>
    <t>Beidou</t>
  </si>
  <si>
    <t>GuidetoEquity</t>
  </si>
  <si>
    <t>FavoniusLance</t>
  </si>
  <si>
    <t>OasisGardensTruth</t>
  </si>
  <si>
    <t>Chongyun</t>
  </si>
  <si>
    <t>PhilosophiesofEquity</t>
  </si>
  <si>
    <t>FavoniusSword</t>
  </si>
  <si>
    <t>EchoofScorchingMight</t>
  </si>
  <si>
    <t>Dehya</t>
  </si>
  <si>
    <t>FavoniusWarbow</t>
  </si>
  <si>
    <t>RemnantGlowofScorchingMight</t>
  </si>
  <si>
    <t>Diluc</t>
  </si>
  <si>
    <t>FerrousShadow</t>
  </si>
  <si>
    <t>DreamofScorchingMight</t>
  </si>
  <si>
    <t>Dori</t>
  </si>
  <si>
    <t>FesteringDesire</t>
  </si>
  <si>
    <t>OldenDaysofScorchingMight</t>
  </si>
  <si>
    <t>Eula</t>
  </si>
  <si>
    <t>FilletBlade</t>
  </si>
  <si>
    <t>FragmentofanAncientChord</t>
  </si>
  <si>
    <t>Freminet</t>
  </si>
  <si>
    <t>FinaleoftheDeep</t>
  </si>
  <si>
    <t>ChapterofanAncientChord</t>
  </si>
  <si>
    <t>Gaming</t>
  </si>
  <si>
    <t>FleuveCendreFerryman</t>
  </si>
  <si>
    <t>MovementofanAncientChord</t>
  </si>
  <si>
    <t>Kaveh</t>
  </si>
  <si>
    <t>FlowingPurity</t>
  </si>
  <si>
    <t>EchoofanAncientChord</t>
  </si>
  <si>
    <t>Navia</t>
  </si>
  <si>
    <t>ForestRegalia</t>
  </si>
  <si>
    <t>DrossofPureSacredDewdrop</t>
  </si>
  <si>
    <t>Noelle</t>
  </si>
  <si>
    <t>FreedomSworn</t>
  </si>
  <si>
    <t>SublimationofPureSacredDewdrop</t>
  </si>
  <si>
    <t>Razor</t>
  </si>
  <si>
    <t>Frostbearer</t>
  </si>
  <si>
    <t>SpringofPureSacredDewdrop</t>
  </si>
  <si>
    <t>Sayu</t>
  </si>
  <si>
    <t>FruitofFulfillment</t>
  </si>
  <si>
    <t>EssenceofPureSacredDewdrop</t>
  </si>
  <si>
    <t>Xinyan</t>
  </si>
  <si>
    <t>HakushinRing</t>
  </si>
  <si>
    <t>BrokenGobletofthePristineSea</t>
  </si>
  <si>
    <t>Arlecchino</t>
  </si>
  <si>
    <t>Halberd</t>
  </si>
  <si>
    <t>WineGobletofthePristineSea</t>
  </si>
  <si>
    <t>Baizhu</t>
  </si>
  <si>
    <t>Hamayumi</t>
  </si>
  <si>
    <t>SilverGobletofthePristineSea</t>
  </si>
  <si>
    <t>Barbara</t>
  </si>
  <si>
    <t>HaranGeppakuFutsu</t>
  </si>
  <si>
    <t>GoldenGobletofthePristineSea</t>
  </si>
  <si>
    <t>Charlotte</t>
  </si>
  <si>
    <t>HarbingerofDawn</t>
  </si>
  <si>
    <t>Klee</t>
  </si>
  <si>
    <t>HuntersPath</t>
  </si>
  <si>
    <t>Lisa</t>
  </si>
  <si>
    <t>IbisPiercer</t>
  </si>
  <si>
    <t>Mona</t>
  </si>
  <si>
    <t>IronSting</t>
  </si>
  <si>
    <t>Nahida</t>
  </si>
  <si>
    <t>JadefallsSplendor</t>
  </si>
  <si>
    <t>Neuvillette</t>
  </si>
  <si>
    <t>KagotsurubeIsshin</t>
  </si>
  <si>
    <t>Ningguang</t>
  </si>
  <si>
    <t>KagurasVerity</t>
  </si>
  <si>
    <t>SangonomiyaKokomi</t>
  </si>
  <si>
    <t>KatsuragikiriNagamasa</t>
  </si>
  <si>
    <t>ShikanoinHeizou</t>
  </si>
  <si>
    <t>KeyofKhajNisut</t>
  </si>
  <si>
    <t>Sucrose</t>
  </si>
  <si>
    <t>KingsSquire</t>
  </si>
  <si>
    <t>Wanderer</t>
  </si>
  <si>
    <t>KitainCrossSpear</t>
  </si>
  <si>
    <t>Wriothesley</t>
  </si>
  <si>
    <t>LightofFoliarIncision</t>
  </si>
  <si>
    <t>Xianyun</t>
  </si>
  <si>
    <t>LionsRoar</t>
  </si>
  <si>
    <t>YaeMiko</t>
  </si>
  <si>
    <t>LithicBlade</t>
  </si>
  <si>
    <t>Yanfei</t>
  </si>
  <si>
    <t>LithicSpear</t>
  </si>
  <si>
    <t>Candace</t>
  </si>
  <si>
    <t>LostPrayertotheSacredWinds</t>
  </si>
  <si>
    <t>Chevreuse</t>
  </si>
  <si>
    <t>LuxuriousSeaLord</t>
  </si>
  <si>
    <t>Cyno</t>
  </si>
  <si>
    <t>MagicGuide</t>
  </si>
  <si>
    <t>HuTao</t>
  </si>
  <si>
    <t>MailedFlower</t>
  </si>
  <si>
    <t>Mika</t>
  </si>
  <si>
    <t>MakhairaAquamarine</t>
  </si>
  <si>
    <t>RaidenShogun</t>
  </si>
  <si>
    <t>MappaMare</t>
  </si>
  <si>
    <t>Rosaria</t>
  </si>
  <si>
    <t>MemoryofDust</t>
  </si>
  <si>
    <t>Shenhe</t>
  </si>
  <si>
    <t>Messenger</t>
  </si>
  <si>
    <t>Thoma</t>
  </si>
  <si>
    <t>MissiveWindspear</t>
  </si>
  <si>
    <t>Xiangling</t>
  </si>
  <si>
    <t>MistsplitterReforged</t>
  </si>
  <si>
    <t>Xiao</t>
  </si>
  <si>
    <t>MitternachtsWaltz</t>
  </si>
  <si>
    <t>Yaoyao</t>
  </si>
  <si>
    <t>Moonpiercer</t>
  </si>
  <si>
    <t>YunJin</t>
  </si>
  <si>
    <t>MouunsMoon</t>
  </si>
  <si>
    <t>Zhongli</t>
  </si>
  <si>
    <t>OathswornEye</t>
  </si>
  <si>
    <t>OtherworldlyStory</t>
  </si>
  <si>
    <t>PolarStar</t>
  </si>
  <si>
    <t>PortablePowerSaw</t>
  </si>
  <si>
    <t>Predator</t>
  </si>
  <si>
    <t>PrimordialJadeCutter</t>
  </si>
  <si>
    <t>PrimordialJadeWingedSpear</t>
  </si>
  <si>
    <t>ProspectorsDrill</t>
  </si>
  <si>
    <t>PrototypeAmber</t>
  </si>
  <si>
    <t>PrototypeArchaic</t>
  </si>
  <si>
    <t>PrototypeCrescent</t>
  </si>
  <si>
    <t>PrototypeRancour</t>
  </si>
  <si>
    <t>PrototypeStarglitter</t>
  </si>
  <si>
    <t>Rainslasher</t>
  </si>
  <si>
    <t>RangeGauge</t>
  </si>
  <si>
    <t>RavenBow</t>
  </si>
  <si>
    <t>RecurveBow</t>
  </si>
  <si>
    <t>RedhornStonethresher</t>
  </si>
  <si>
    <t>RightfulReward</t>
  </si>
  <si>
    <t>RoyalBow</t>
  </si>
  <si>
    <t>RoyalGreatsword</t>
  </si>
  <si>
    <t>RoyalGrimoire</t>
  </si>
  <si>
    <t>RoyalLongsword</t>
  </si>
  <si>
    <t>RoyalSpear</t>
  </si>
  <si>
    <t>Rust</t>
  </si>
  <si>
    <t>SacrificialBow</t>
  </si>
  <si>
    <t>SacrificialFragments</t>
  </si>
  <si>
    <t>SacrificialGreatsword</t>
  </si>
  <si>
    <t>SacrificialJade</t>
  </si>
  <si>
    <t>SacrificialSword</t>
  </si>
  <si>
    <t>SapwoodBlade</t>
  </si>
  <si>
    <t>ScionoftheBlazingSun</t>
  </si>
  <si>
    <t>SerpentSpine</t>
  </si>
  <si>
    <t>SharpshootersOath</t>
  </si>
  <si>
    <t>SkyriderGreatsword</t>
  </si>
  <si>
    <t>SkyriderSword</t>
  </si>
  <si>
    <t>SkywardAtlas</t>
  </si>
  <si>
    <t>SkywardBlade</t>
  </si>
  <si>
    <t>SkywardHarp</t>
  </si>
  <si>
    <t>SkywardPride</t>
  </si>
  <si>
    <t>SkywardSpine</t>
  </si>
  <si>
    <t>Slingshot</t>
  </si>
  <si>
    <t>SnowTombedStarsilver</t>
  </si>
  <si>
    <t>SolarPearl</t>
  </si>
  <si>
    <t>SongofBrokenPines</t>
  </si>
  <si>
    <t>SongofStillness</t>
  </si>
  <si>
    <t>SplendorofTranquilWaters</t>
  </si>
  <si>
    <t>StaffofHoma</t>
  </si>
  <si>
    <t>StaffoftheScarletSands</t>
  </si>
  <si>
    <t>SummitShaper</t>
  </si>
  <si>
    <t>SwordofDescension</t>
  </si>
  <si>
    <t>SwordofNarzissenkreuz</t>
  </si>
  <si>
    <t>TalkingStick</t>
  </si>
  <si>
    <t>TheAlleyFlash</t>
  </si>
  <si>
    <t>TheBell</t>
  </si>
  <si>
    <t>TheBlackSword</t>
  </si>
  <si>
    <t>TheCatch</t>
  </si>
  <si>
    <t>TheDockhandsAssistant</t>
  </si>
  <si>
    <t>TheFirstGreatMagic</t>
  </si>
  <si>
    <t>TheFlute</t>
  </si>
  <si>
    <t>TheStringless</t>
  </si>
  <si>
    <t>TheUnforged</t>
  </si>
  <si>
    <t>TheViridescentHunt</t>
  </si>
  <si>
    <t>TheWidsith</t>
  </si>
  <si>
    <t>ThrillingTalesofDragonSlayers</t>
  </si>
  <si>
    <t>ThunderingPulse</t>
  </si>
  <si>
    <t>TidalShadow</t>
  </si>
  <si>
    <t>TomeoftheEternalFlow</t>
  </si>
  <si>
    <t>ToukabouShigure</t>
  </si>
  <si>
    <t>TravelersHandySword</t>
  </si>
  <si>
    <t>TulaytullahsRemembrance</t>
  </si>
  <si>
    <t>TwinNephrite</t>
  </si>
  <si>
    <t>UltimateOverlordsMegaMagicSword</t>
  </si>
  <si>
    <t>UrakuMisugiri</t>
  </si>
  <si>
    <t>Verdict</t>
  </si>
  <si>
    <t>VortexVanquisher</t>
  </si>
  <si>
    <t>WanderingEvenstar</t>
  </si>
  <si>
    <t>WavebreakersFin</t>
  </si>
  <si>
    <t>Whiteblind</t>
  </si>
  <si>
    <t>WhiteIronGreatsword</t>
  </si>
  <si>
    <t>WhiteTassel</t>
  </si>
  <si>
    <t>WindblumeOde</t>
  </si>
  <si>
    <t>WineandSong</t>
  </si>
  <si>
    <t>WolfFang</t>
  </si>
  <si>
    <t>WolfsGravestone</t>
  </si>
  <si>
    <t>XiphosMoonlight</t>
  </si>
  <si>
    <t>Inventory</t>
  </si>
  <si>
    <t>Quantity</t>
  </si>
  <si>
    <t>Genshin Resource Calculator</t>
  </si>
  <si>
    <t>Current Character Levels</t>
  </si>
  <si>
    <t>Targeted Character Levels</t>
  </si>
  <si>
    <t>Ascension Materials</t>
  </si>
  <si>
    <t>Ascension Stones</t>
  </si>
  <si>
    <t>Monster Drops for Ascension &amp; Talent</t>
  </si>
  <si>
    <t>Total Mob Materials</t>
  </si>
  <si>
    <t>Mora Calculation</t>
  </si>
  <si>
    <t>Sl No.</t>
  </si>
  <si>
    <t>NameHelper</t>
  </si>
  <si>
    <t>Version Released</t>
  </si>
  <si>
    <t>Level</t>
  </si>
  <si>
    <t>NA</t>
  </si>
  <si>
    <t>Skill</t>
  </si>
  <si>
    <t>Burst</t>
  </si>
  <si>
    <t>Hero's Wits</t>
  </si>
  <si>
    <t>Material</t>
  </si>
  <si>
    <t>Need to Farm</t>
  </si>
  <si>
    <t>Book</t>
  </si>
  <si>
    <t>4* Book</t>
  </si>
  <si>
    <t>3* Book</t>
  </si>
  <si>
    <t>2* Book</t>
  </si>
  <si>
    <t>Local Specialties</t>
  </si>
  <si>
    <t>Stone Type</t>
  </si>
  <si>
    <t>Material Type</t>
  </si>
  <si>
    <t>Ascension
Cost</t>
  </si>
  <si>
    <t>Talent Cost
(NA)</t>
  </si>
  <si>
    <t>Talent Cost
(Skill)</t>
  </si>
  <si>
    <t>Talent Cost
(Burst)</t>
  </si>
  <si>
    <t>Total
Cost</t>
  </si>
  <si>
    <t>Arataki Itto</t>
  </si>
  <si>
    <t>Hu Tao</t>
  </si>
  <si>
    <t>Kamisato Ayaka</t>
  </si>
  <si>
    <t>Kamisato Ayato</t>
  </si>
  <si>
    <t>Kazuha</t>
  </si>
  <si>
    <t>Kujou Sara</t>
  </si>
  <si>
    <t>Kuki Shinobu</t>
  </si>
  <si>
    <t>Raiden Shogun</t>
  </si>
  <si>
    <t>Sangonomiya Kokomi</t>
  </si>
  <si>
    <t>Shikanoin Heizou</t>
  </si>
  <si>
    <t>Traveler</t>
  </si>
  <si>
    <t>Yae Miko</t>
  </si>
  <si>
    <t>Yoimia</t>
  </si>
  <si>
    <t>Yun Jin</t>
  </si>
  <si>
    <t>Total</t>
  </si>
  <si>
    <t>Version</t>
  </si>
  <si>
    <t>Mats Needed</t>
  </si>
  <si>
    <t>Mats Acquired</t>
  </si>
  <si>
    <t>Remaining Mats</t>
  </si>
  <si>
    <t>Talent Books Calculations</t>
  </si>
  <si>
    <t>Books Acquired</t>
  </si>
  <si>
    <t>Remaining Books</t>
  </si>
  <si>
    <t>Mondstadt</t>
  </si>
  <si>
    <t>Liyue</t>
  </si>
  <si>
    <t>Inazuma</t>
  </si>
  <si>
    <t>Sumeru</t>
  </si>
  <si>
    <t>Fontain</t>
  </si>
  <si>
    <t>Weekly Boss Material</t>
  </si>
  <si>
    <t>Stone Name</t>
  </si>
  <si>
    <t>Stones Acquired</t>
  </si>
  <si>
    <t>Remaining Stones</t>
  </si>
  <si>
    <t>Amakumo Fruit</t>
  </si>
  <si>
    <t>Beryl Conch</t>
  </si>
  <si>
    <t>Calla Lily</t>
  </si>
  <si>
    <t>Clearwater Jade</t>
  </si>
  <si>
    <t>Cor Lapis</t>
  </si>
  <si>
    <t>Crystal Marrow</t>
  </si>
  <si>
    <t>Dandelion Seed</t>
  </si>
  <si>
    <t>Fluorescent Fungus</t>
  </si>
  <si>
    <t>Glaze Lily</t>
  </si>
  <si>
    <t>Henna Berry</t>
  </si>
  <si>
    <t>Jueyun Chili</t>
  </si>
  <si>
    <t>Kalpalata Lotus</t>
  </si>
  <si>
    <t>Lakelight Lily</t>
  </si>
  <si>
    <t>Lumidouce Bell</t>
  </si>
  <si>
    <t>Mourning Flower</t>
  </si>
  <si>
    <t>Naku Weed</t>
  </si>
  <si>
    <t>Nilotpala Lotus</t>
  </si>
  <si>
    <t>Noctilucous Jade</t>
  </si>
  <si>
    <t>Philanemo Mushroom</t>
  </si>
  <si>
    <t>Rainbow Rose</t>
  </si>
  <si>
    <t>Romaritime Flower</t>
  </si>
  <si>
    <t>Rukkhashava Mushrooms</t>
  </si>
  <si>
    <t>Sakura Bloom</t>
  </si>
  <si>
    <t>Sand Grease Pupa</t>
  </si>
  <si>
    <t>Sango Pearl</t>
  </si>
  <si>
    <t>Sea Ganoderma</t>
  </si>
  <si>
    <t>Silk Flower</t>
  </si>
  <si>
    <t>Small Lamp Grass</t>
  </si>
  <si>
    <t>Spring of the First Dewdrop</t>
  </si>
  <si>
    <t>Subdetection Unit</t>
  </si>
  <si>
    <t>Windwheel Aster</t>
  </si>
  <si>
    <t>Need to farm</t>
  </si>
  <si>
    <t>2* Book2</t>
  </si>
  <si>
    <t>2* Book3</t>
  </si>
  <si>
    <t>2* Need</t>
  </si>
  <si>
    <t>4* Need</t>
  </si>
  <si>
    <t>3* Need</t>
  </si>
  <si>
    <t>2* Need3</t>
  </si>
  <si>
    <t>2* Need2</t>
  </si>
  <si>
    <t>3* Book2</t>
  </si>
  <si>
    <t>3* Need2</t>
  </si>
  <si>
    <t>4* Book2</t>
  </si>
  <si>
    <t>4* Need2</t>
  </si>
  <si>
    <t>3* Book3</t>
  </si>
  <si>
    <t>3* Need3</t>
  </si>
  <si>
    <t>4* Book3</t>
  </si>
  <si>
    <t>4* Need3</t>
  </si>
  <si>
    <t>HelperName</t>
  </si>
  <si>
    <t>Link to Interactive Map</t>
  </si>
  <si>
    <t>BrilliantDiamond</t>
  </si>
  <si>
    <t>AgnidusAgate</t>
  </si>
  <si>
    <t>VarunadaLazurite</t>
  </si>
  <si>
    <t>NagadusEmerald</t>
  </si>
  <si>
    <t>VajradaAmethyst</t>
  </si>
  <si>
    <t>VayudaTurquoise</t>
  </si>
  <si>
    <t>ShivadaJade</t>
  </si>
  <si>
    <t>PrithivaTopaz</t>
  </si>
  <si>
    <t>Gemstone2</t>
  </si>
  <si>
    <t>Chunk6</t>
  </si>
  <si>
    <t>Fragment11</t>
  </si>
  <si>
    <t>Silver13</t>
  </si>
  <si>
    <t>Gemstone3</t>
  </si>
  <si>
    <t>Chunk7</t>
  </si>
  <si>
    <t>Fragment12</t>
  </si>
  <si>
    <t>Silver14</t>
  </si>
  <si>
    <t>Specialty</t>
  </si>
  <si>
    <t>Column1</t>
  </si>
  <si>
    <t>Column2</t>
  </si>
  <si>
    <t>Need1</t>
  </si>
  <si>
    <t>Need3</t>
  </si>
  <si>
    <t>3* Mats2</t>
  </si>
  <si>
    <t>Acquired1</t>
  </si>
  <si>
    <t>2* Mats2</t>
  </si>
  <si>
    <t>1* Mats2</t>
  </si>
  <si>
    <t>3* Mats3</t>
  </si>
  <si>
    <t>2* Mats3</t>
  </si>
  <si>
    <t>1* Mats3</t>
  </si>
  <si>
    <t>Remaining1</t>
  </si>
  <si>
    <t>Remaining2</t>
  </si>
  <si>
    <t>Remaining3</t>
  </si>
  <si>
    <t>3*Icon</t>
  </si>
  <si>
    <t>2*Icon</t>
  </si>
  <si>
    <t>1*Icon</t>
  </si>
  <si>
    <t>3*Name</t>
  </si>
  <si>
    <t>2*Name</t>
  </si>
  <si>
    <t>1*Name</t>
  </si>
  <si>
    <t>HelperName3*</t>
  </si>
  <si>
    <t>HelperName2*</t>
  </si>
  <si>
    <t>HelperName1*</t>
  </si>
  <si>
    <t>3* (Asc)</t>
  </si>
  <si>
    <t>2* (Asc)</t>
  </si>
  <si>
    <t>1* (Asc)</t>
  </si>
  <si>
    <t>3* (Tal)</t>
  </si>
  <si>
    <t>2* (Tal)</t>
  </si>
  <si>
    <t>1* (Tal)</t>
  </si>
  <si>
    <t>3* Icon</t>
  </si>
  <si>
    <t>1* Icon</t>
  </si>
  <si>
    <t>3* Quantity</t>
  </si>
  <si>
    <t>2* Icon</t>
  </si>
  <si>
    <t>2* Quantity</t>
  </si>
  <si>
    <t>1* Quantity</t>
  </si>
  <si>
    <t>MonsterDrops</t>
  </si>
  <si>
    <t>Crown of Insignia</t>
  </si>
  <si>
    <t>Freedom</t>
  </si>
  <si>
    <t>Resistance</t>
  </si>
  <si>
    <t>Ballad</t>
  </si>
  <si>
    <t>Prosperity</t>
  </si>
  <si>
    <t>Diligence</t>
  </si>
  <si>
    <t>Gold</t>
  </si>
  <si>
    <t>Transience</t>
  </si>
  <si>
    <t>Elegance</t>
  </si>
  <si>
    <t>Light</t>
  </si>
  <si>
    <t>Admonition</t>
  </si>
  <si>
    <t>Ingenuity</t>
  </si>
  <si>
    <t>Equity</t>
  </si>
  <si>
    <t>Justice</t>
  </si>
  <si>
    <t>Order</t>
  </si>
  <si>
    <t>DreamSolvent</t>
  </si>
  <si>
    <t>Need2</t>
  </si>
  <si>
    <t>Acquired2</t>
  </si>
  <si>
    <t>Acquired3</t>
  </si>
  <si>
    <t>Acquired</t>
  </si>
  <si>
    <t>Remaining</t>
  </si>
  <si>
    <t>Need to Farm1.1</t>
  </si>
  <si>
    <t>Need to Farm1.2</t>
  </si>
  <si>
    <t>Need to Farm1.3</t>
  </si>
  <si>
    <t>Need to Farm1.4</t>
  </si>
  <si>
    <t>Need to Farm2.1</t>
  </si>
  <si>
    <t>Need to Farm2.2</t>
  </si>
  <si>
    <t>Need to Farm2.3</t>
  </si>
  <si>
    <t>Need to Farm2.4</t>
  </si>
  <si>
    <t>Need to Farm3.1</t>
  </si>
  <si>
    <t>Need to Farm3.2</t>
  </si>
  <si>
    <t>Need to Farm3.3</t>
  </si>
  <si>
    <t>Need to Farm3.4</t>
  </si>
  <si>
    <t>Characters</t>
  </si>
  <si>
    <t>WorldBoss</t>
  </si>
  <si>
    <t>WeeklyBoss</t>
  </si>
  <si>
    <t>3Star</t>
  </si>
  <si>
    <t>2Star</t>
  </si>
  <si>
    <t>1Star</t>
  </si>
  <si>
    <t>TalentBooks</t>
  </si>
  <si>
    <t>Misc</t>
  </si>
  <si>
    <t>WeaponMaterials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</si>
</sst>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0"/>
      <name val="HYWenHei-85W"/>
      <family val="1"/>
    </font>
    <font>
      <sz val="11"/>
      <color theme="1"/>
      <name val="HYWenHei-85W"/>
      <family val="1"/>
    </font>
    <font>
      <b/>
      <sz val="11"/>
      <color theme="0"/>
      <name val="HYWenHei-85W"/>
      <family val="1"/>
    </font>
    <font>
      <sz val="11"/>
      <color theme="4"/>
      <name val="HYWenHei-85W"/>
      <family val="1"/>
    </font>
    <font>
      <b/>
      <sz val="11"/>
      <color rgb="FF006100"/>
      <name val="HYWenHei-85W"/>
      <family val="1"/>
    </font>
    <font>
      <b/>
      <sz val="11"/>
      <color theme="4"/>
      <name val="HYWenHei-85W"/>
      <family val="1"/>
    </font>
    <font>
      <b/>
      <sz val="11"/>
      <name val="HYWenHei-85W"/>
      <family val="1"/>
    </font>
    <font>
      <sz val="11"/>
      <name val="HYWenHei-85W"/>
      <family val="1"/>
    </font>
    <font>
      <b/>
      <sz val="11"/>
      <color rgb="FF9C5700"/>
      <name val="HYWenHei-85W"/>
      <family val="1"/>
    </font>
    <font>
      <sz val="10"/>
      <color theme="0"/>
      <name val="HYWenHei-85W"/>
      <family val="1"/>
    </font>
    <font>
      <b/>
      <sz val="10"/>
      <color theme="0"/>
      <name val="HYWenHei-85W"/>
      <family val="1"/>
    </font>
    <font>
      <sz val="9"/>
      <color theme="0"/>
      <name val="HYWenHei-85W"/>
      <family val="1"/>
    </font>
    <font>
      <b/>
      <sz val="20"/>
      <color theme="4"/>
      <name val="HYWenHei-85W"/>
      <family val="1"/>
    </font>
    <font>
      <u/>
      <sz val="11"/>
      <color theme="10"/>
      <name val="HYWenHei-85W"/>
      <family val="1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</cellStyleXfs>
  <cellXfs count="2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4" borderId="12" xfId="2" applyBorder="1" applyAlignment="1">
      <alignment vertical="center"/>
    </xf>
    <xf numFmtId="0" fontId="6" fillId="3" borderId="13" xfId="1" applyBorder="1" applyAlignment="1" applyProtection="1">
      <alignment vertical="center"/>
      <protection locked="0"/>
    </xf>
    <xf numFmtId="0" fontId="7" fillId="4" borderId="14" xfId="2" applyBorder="1" applyAlignment="1">
      <alignment vertical="center"/>
    </xf>
    <xf numFmtId="164" fontId="6" fillId="3" borderId="15" xfId="1" applyNumberFormat="1" applyBorder="1" applyAlignment="1">
      <alignment horizontal="left" vertical="center"/>
    </xf>
    <xf numFmtId="0" fontId="6" fillId="3" borderId="15" xfId="1" applyBorder="1" applyAlignment="1">
      <alignment vertical="center"/>
    </xf>
    <xf numFmtId="0" fontId="7" fillId="4" borderId="20" xfId="2" applyBorder="1" applyAlignment="1">
      <alignment vertical="center"/>
    </xf>
    <xf numFmtId="0" fontId="6" fillId="3" borderId="21" xfId="1" applyBorder="1" applyAlignment="1">
      <alignment vertical="center"/>
    </xf>
    <xf numFmtId="0" fontId="7" fillId="4" borderId="22" xfId="2" applyBorder="1" applyAlignment="1">
      <alignment vertical="center"/>
    </xf>
    <xf numFmtId="0" fontId="6" fillId="3" borderId="23" xfId="1" applyBorder="1" applyAlignment="1">
      <alignment vertical="center"/>
    </xf>
    <xf numFmtId="0" fontId="6" fillId="3" borderId="13" xfId="1" applyBorder="1" applyAlignment="1">
      <alignment vertical="center"/>
    </xf>
    <xf numFmtId="0" fontId="8" fillId="0" borderId="0" xfId="3" applyAlignment="1" applyProtection="1">
      <alignment vertical="center"/>
    </xf>
    <xf numFmtId="0" fontId="7" fillId="4" borderId="18" xfId="2" applyBorder="1" applyAlignment="1">
      <alignment vertical="center"/>
    </xf>
    <xf numFmtId="0" fontId="6" fillId="3" borderId="19" xfId="1" applyBorder="1" applyAlignment="1">
      <alignment vertical="center"/>
    </xf>
    <xf numFmtId="0" fontId="7" fillId="4" borderId="16" xfId="2" applyBorder="1" applyAlignment="1">
      <alignment vertical="center"/>
    </xf>
    <xf numFmtId="0" fontId="6" fillId="3" borderId="17" xfId="1" applyBorder="1" applyAlignment="1">
      <alignment vertical="center"/>
    </xf>
    <xf numFmtId="49" fontId="0" fillId="0" borderId="0" xfId="0" applyNumberForma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3" borderId="0" xfId="1" applyFont="1" applyAlignment="1">
      <alignment horizontal="center" vertical="center"/>
    </xf>
    <xf numFmtId="0" fontId="16" fillId="3" borderId="0" xfId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5" fontId="16" fillId="3" borderId="0" xfId="1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0" fontId="16" fillId="3" borderId="33" xfId="1" applyFont="1" applyBorder="1" applyAlignment="1">
      <alignment horizontal="center" vertical="center"/>
    </xf>
    <xf numFmtId="0" fontId="16" fillId="3" borderId="21" xfId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8" borderId="28" xfId="5" applyFont="1" applyBorder="1" applyAlignment="1">
      <alignment horizontal="center" vertical="center"/>
    </xf>
    <xf numFmtId="0" fontId="20" fillId="8" borderId="29" xfId="5" applyFont="1" applyBorder="1" applyAlignment="1">
      <alignment horizontal="center" vertical="center"/>
    </xf>
    <xf numFmtId="0" fontId="20" fillId="8" borderId="30" xfId="5" applyFont="1" applyBorder="1" applyAlignment="1">
      <alignment horizontal="center" vertical="center"/>
    </xf>
    <xf numFmtId="1" fontId="19" fillId="0" borderId="29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5" borderId="30" xfId="0" applyFont="1" applyFill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5" borderId="29" xfId="0" applyNumberFormat="1" applyFont="1" applyFill="1" applyBorder="1" applyAlignment="1">
      <alignment horizontal="center" vertical="center"/>
    </xf>
    <xf numFmtId="1" fontId="19" fillId="5" borderId="30" xfId="0" applyNumberFormat="1" applyFont="1" applyFill="1" applyBorder="1" applyAlignment="1">
      <alignment horizontal="center" vertical="center"/>
    </xf>
    <xf numFmtId="1" fontId="19" fillId="5" borderId="32" xfId="0" applyNumberFormat="1" applyFont="1" applyFill="1" applyBorder="1" applyAlignment="1">
      <alignment horizontal="center" vertical="center"/>
    </xf>
    <xf numFmtId="0" fontId="19" fillId="5" borderId="32" xfId="0" applyFont="1" applyFill="1" applyBorder="1" applyAlignment="1">
      <alignment horizontal="center" vertical="center"/>
    </xf>
    <xf numFmtId="0" fontId="19" fillId="5" borderId="33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1" fontId="19" fillId="5" borderId="20" xfId="0" applyNumberFormat="1" applyFont="1" applyFill="1" applyBorder="1" applyAlignment="1">
      <alignment horizontal="center" vertical="center"/>
    </xf>
    <xf numFmtId="1" fontId="19" fillId="5" borderId="0" xfId="0" applyNumberFormat="1" applyFont="1" applyFill="1" applyAlignment="1">
      <alignment horizontal="center" vertical="center"/>
    </xf>
    <xf numFmtId="1" fontId="19" fillId="5" borderId="21" xfId="0" applyNumberFormat="1" applyFont="1" applyFill="1" applyBorder="1" applyAlignment="1">
      <alignment horizontal="center" vertical="center"/>
    </xf>
    <xf numFmtId="1" fontId="18" fillId="5" borderId="20" xfId="0" applyNumberFormat="1" applyFont="1" applyFill="1" applyBorder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1" fontId="18" fillId="5" borderId="21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4" fontId="19" fillId="0" borderId="21" xfId="0" applyNumberFormat="1" applyFont="1" applyBorder="1" applyAlignment="1">
      <alignment horizontal="center" vertical="center"/>
    </xf>
    <xf numFmtId="0" fontId="20" fillId="8" borderId="20" xfId="5" applyFont="1" applyBorder="1" applyAlignment="1">
      <alignment horizontal="center" vertical="center"/>
    </xf>
    <xf numFmtId="0" fontId="20" fillId="8" borderId="0" xfId="5" applyFont="1" applyBorder="1" applyAlignment="1">
      <alignment horizontal="center" vertical="center"/>
    </xf>
    <xf numFmtId="0" fontId="20" fillId="8" borderId="21" xfId="5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1" fontId="19" fillId="0" borderId="33" xfId="0" applyNumberFormat="1" applyFont="1" applyBorder="1" applyAlignment="1">
      <alignment horizontal="center" vertical="center"/>
    </xf>
    <xf numFmtId="1" fontId="19" fillId="0" borderId="21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1" fontId="19" fillId="0" borderId="20" xfId="0" applyNumberFormat="1" applyFont="1" applyBorder="1" applyAlignment="1">
      <alignment horizontal="center" vertical="center"/>
    </xf>
    <xf numFmtId="1" fontId="18" fillId="0" borderId="20" xfId="0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21" xfId="0" applyNumberFormat="1" applyFont="1" applyBorder="1" applyAlignment="1">
      <alignment horizontal="center" vertical="center"/>
    </xf>
    <xf numFmtId="1" fontId="19" fillId="5" borderId="33" xfId="0" applyNumberFormat="1" applyFont="1" applyFill="1" applyBorder="1" applyAlignment="1">
      <alignment horizontal="center" vertical="center"/>
    </xf>
    <xf numFmtId="0" fontId="16" fillId="3" borderId="0" xfId="1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0" fontId="16" fillId="3" borderId="34" xfId="1" applyFont="1" applyBorder="1" applyAlignment="1">
      <alignment horizontal="center" vertical="center"/>
    </xf>
    <xf numFmtId="0" fontId="16" fillId="3" borderId="31" xfId="1" applyFont="1" applyBorder="1" applyAlignment="1">
      <alignment horizontal="center" vertical="center"/>
    </xf>
    <xf numFmtId="0" fontId="16" fillId="3" borderId="23" xfId="1" applyFont="1" applyBorder="1" applyAlignment="1">
      <alignment horizontal="center" vertical="center"/>
    </xf>
    <xf numFmtId="0" fontId="20" fillId="8" borderId="22" xfId="5" applyFont="1" applyBorder="1" applyAlignment="1">
      <alignment horizontal="center" vertical="center"/>
    </xf>
    <xf numFmtId="0" fontId="20" fillId="8" borderId="31" xfId="5" applyFont="1" applyBorder="1" applyAlignment="1">
      <alignment horizontal="center" vertical="center"/>
    </xf>
    <xf numFmtId="0" fontId="20" fillId="8" borderId="23" xfId="5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" fontId="19" fillId="0" borderId="26" xfId="0" applyNumberFormat="1" applyFont="1" applyBorder="1" applyAlignment="1">
      <alignment horizontal="center" vertical="center"/>
    </xf>
    <xf numFmtId="1" fontId="19" fillId="0" borderId="27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1" fontId="19" fillId="0" borderId="25" xfId="0" applyNumberFormat="1" applyFont="1" applyBorder="1" applyAlignment="1">
      <alignment horizontal="center" vertical="center"/>
    </xf>
    <xf numFmtId="1" fontId="18" fillId="0" borderId="26" xfId="0" applyNumberFormat="1" applyFont="1" applyBorder="1" applyAlignment="1">
      <alignment horizontal="center" vertical="center"/>
    </xf>
    <xf numFmtId="1" fontId="18" fillId="0" borderId="27" xfId="0" applyNumberFormat="1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0" borderId="29" xfId="0" applyFont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 wrapText="1"/>
    </xf>
    <xf numFmtId="0" fontId="23" fillId="6" borderId="24" xfId="0" applyFont="1" applyFill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3" fontId="19" fillId="5" borderId="28" xfId="0" applyNumberFormat="1" applyFont="1" applyFill="1" applyBorder="1" applyAlignment="1">
      <alignment horizontal="right" vertical="center"/>
    </xf>
    <xf numFmtId="3" fontId="19" fillId="5" borderId="29" xfId="0" applyNumberFormat="1" applyFont="1" applyFill="1" applyBorder="1" applyAlignment="1">
      <alignment horizontal="right" vertical="center"/>
    </xf>
    <xf numFmtId="3" fontId="19" fillId="5" borderId="30" xfId="0" applyNumberFormat="1" applyFont="1" applyFill="1" applyBorder="1" applyAlignment="1">
      <alignment horizontal="right" vertical="center"/>
    </xf>
    <xf numFmtId="3" fontId="19" fillId="0" borderId="20" xfId="0" applyNumberFormat="1" applyFont="1" applyBorder="1" applyAlignment="1">
      <alignment horizontal="right" vertical="center"/>
    </xf>
    <xf numFmtId="3" fontId="19" fillId="0" borderId="0" xfId="0" applyNumberFormat="1" applyFont="1" applyAlignment="1">
      <alignment horizontal="right" vertical="center"/>
    </xf>
    <xf numFmtId="3" fontId="19" fillId="0" borderId="21" xfId="0" applyNumberFormat="1" applyFont="1" applyBorder="1" applyAlignment="1">
      <alignment horizontal="right" vertical="center"/>
    </xf>
    <xf numFmtId="3" fontId="19" fillId="5" borderId="20" xfId="0" applyNumberFormat="1" applyFont="1" applyFill="1" applyBorder="1" applyAlignment="1">
      <alignment horizontal="right" vertical="center"/>
    </xf>
    <xf numFmtId="3" fontId="19" fillId="5" borderId="0" xfId="0" applyNumberFormat="1" applyFont="1" applyFill="1" applyAlignment="1">
      <alignment horizontal="right" vertical="center"/>
    </xf>
    <xf numFmtId="3" fontId="19" fillId="5" borderId="21" xfId="0" applyNumberFormat="1" applyFont="1" applyFill="1" applyBorder="1" applyAlignment="1">
      <alignment horizontal="right" vertical="center"/>
    </xf>
    <xf numFmtId="3" fontId="19" fillId="0" borderId="25" xfId="0" applyNumberFormat="1" applyFont="1" applyBorder="1" applyAlignment="1">
      <alignment horizontal="right" vertical="center"/>
    </xf>
    <xf numFmtId="3" fontId="19" fillId="0" borderId="26" xfId="0" applyNumberFormat="1" applyFont="1" applyBorder="1" applyAlignment="1">
      <alignment horizontal="right" vertical="center"/>
    </xf>
    <xf numFmtId="3" fontId="19" fillId="0" borderId="27" xfId="0" applyNumberFormat="1" applyFont="1" applyBorder="1" applyAlignment="1">
      <alignment horizontal="right" vertical="center"/>
    </xf>
    <xf numFmtId="0" fontId="22" fillId="6" borderId="32" xfId="0" applyFont="1" applyFill="1" applyBorder="1" applyAlignment="1">
      <alignment horizontal="center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7" fillId="2" borderId="31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" fontId="13" fillId="0" borderId="31" xfId="0" applyNumberFormat="1" applyFont="1" applyBorder="1" applyAlignment="1">
      <alignment horizontal="center" vertical="center"/>
    </xf>
    <xf numFmtId="164" fontId="13" fillId="0" borderId="23" xfId="0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25" fillId="0" borderId="0" xfId="4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4" fillId="6" borderId="41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164" fontId="13" fillId="0" borderId="20" xfId="0" applyNumberFormat="1" applyFont="1" applyBorder="1" applyAlignment="1">
      <alignment horizontal="center" vertical="center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9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2" fillId="2" borderId="25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horizontal="center" vertical="center" wrapText="1"/>
    </xf>
    <xf numFmtId="0" fontId="22" fillId="2" borderId="25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4" fillId="7" borderId="35" xfId="0" applyFont="1" applyFill="1" applyBorder="1" applyAlignment="1">
      <alignment horizontal="center" vertical="center"/>
    </xf>
    <xf numFmtId="0" fontId="24" fillId="7" borderId="36" xfId="0" applyFont="1" applyFill="1" applyBorder="1" applyAlignment="1">
      <alignment horizontal="center" vertical="center"/>
    </xf>
    <xf numFmtId="0" fontId="24" fillId="7" borderId="3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</cellXfs>
  <cellStyles count="6">
    <cellStyle name="Bad" xfId="2" builtinId="27"/>
    <cellStyle name="Explanatory Text" xfId="3" builtinId="53"/>
    <cellStyle name="Good" xfId="1" builtinId="26"/>
    <cellStyle name="Hyperlink" xfId="4" builtinId="8"/>
    <cellStyle name="Neutral" xfId="5" builtinId="28"/>
    <cellStyle name="Normal" xfId="0" builtinId="0"/>
  </cellStyles>
  <dxfs count="4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398E"/>
      <color rgb="FF003AAE"/>
      <color rgb="FF0036CE"/>
      <color rgb="FF006CEE"/>
      <color rgb="FF057CFF"/>
      <color rgb="FF0038B4"/>
      <color rgb="FF1700C0"/>
      <color rgb="FF0000CC"/>
      <color rgb="FF66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emf"/><Relationship Id="rId2" Type="http://schemas.openxmlformats.org/officeDocument/2006/relationships/image" Target="../media/image566.emf"/><Relationship Id="rId1" Type="http://schemas.openxmlformats.org/officeDocument/2006/relationships/image" Target="../media/image567.emf"/><Relationship Id="rId6" Type="http://schemas.openxmlformats.org/officeDocument/2006/relationships/image" Target="../media/image562.emf"/><Relationship Id="rId5" Type="http://schemas.openxmlformats.org/officeDocument/2006/relationships/image" Target="../media/image563.emf"/><Relationship Id="rId4" Type="http://schemas.openxmlformats.org/officeDocument/2006/relationships/image" Target="../media/image56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0.png"/><Relationship Id="rId2" Type="http://schemas.openxmlformats.org/officeDocument/2006/relationships/image" Target="../media/image569.png"/><Relationship Id="rId1" Type="http://schemas.openxmlformats.org/officeDocument/2006/relationships/image" Target="../media/image568.png"/><Relationship Id="rId4" Type="http://schemas.openxmlformats.org/officeDocument/2006/relationships/image" Target="../media/image57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76351</xdr:colOff>
      <xdr:row>0</xdr:row>
      <xdr:rowOff>66860</xdr:rowOff>
    </xdr:from>
    <xdr:to>
      <xdr:col>19</xdr:col>
      <xdr:colOff>488306</xdr:colOff>
      <xdr:row>0</xdr:row>
      <xdr:rowOff>324035</xdr:rowOff>
    </xdr:to>
    <xdr:sp macro="[0]!ShowAscen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/>
        </xdr:cNvSpPr>
      </xdr:nvSpPr>
      <xdr:spPr>
        <a:xfrm>
          <a:off x="10041182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Ascension</a:t>
          </a:r>
        </a:p>
      </xdr:txBody>
    </xdr:sp>
    <xdr:clientData/>
  </xdr:twoCellAnchor>
  <xdr:twoCellAnchor editAs="absolute">
    <xdr:from>
      <xdr:col>20</xdr:col>
      <xdr:colOff>30553</xdr:colOff>
      <xdr:row>0</xdr:row>
      <xdr:rowOff>66860</xdr:rowOff>
    </xdr:from>
    <xdr:to>
      <xdr:col>21</xdr:col>
      <xdr:colOff>442509</xdr:colOff>
      <xdr:row>0</xdr:row>
      <xdr:rowOff>324035</xdr:rowOff>
    </xdr:to>
    <xdr:sp macro="[0]!ShowTalen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spect="1"/>
        </xdr:cNvSpPr>
      </xdr:nvSpPr>
      <xdr:spPr>
        <a:xfrm>
          <a:off x="11138384" y="66860"/>
          <a:ext cx="983456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Talent</a:t>
          </a:r>
        </a:p>
      </xdr:txBody>
    </xdr:sp>
    <xdr:clientData/>
  </xdr:twoCellAnchor>
  <xdr:twoCellAnchor editAs="absolute">
    <xdr:from>
      <xdr:col>21</xdr:col>
      <xdr:colOff>556258</xdr:colOff>
      <xdr:row>0</xdr:row>
      <xdr:rowOff>66860</xdr:rowOff>
    </xdr:from>
    <xdr:to>
      <xdr:col>23</xdr:col>
      <xdr:colOff>396713</xdr:colOff>
      <xdr:row>0</xdr:row>
      <xdr:rowOff>324035</xdr:rowOff>
    </xdr:to>
    <xdr:sp macro="[0]!ShowTota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/>
        </xdr:cNvSpPr>
      </xdr:nvSpPr>
      <xdr:spPr>
        <a:xfrm>
          <a:off x="12235589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Total</a:t>
          </a:r>
        </a:p>
      </xdr:txBody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1" Type="http://schemas.openxmlformats.org/officeDocument/2006/relationships/hyperlink" Target="https://raw.githubusercontent.com/ItsCryp7iC/Genshin-Image-Hosting/main/WorldBoss/HurricaneSeed.png" TargetMode="External"/><Relationship Id="rId170" Type="http://schemas.openxmlformats.org/officeDocument/2006/relationships/image" Target="../media/image85.png"/><Relationship Id="rId268" Type="http://schemas.openxmlformats.org/officeDocument/2006/relationships/image" Target="../media/image134.png"/><Relationship Id="rId475" Type="http://schemas.openxmlformats.org/officeDocument/2006/relationships/hyperlink" Target="https://raw.githubusercontent.com/ItsCryp7iC/Genshin-Image-Hosting/main/WeaponMaterials/MistVeiledMercuryElixir.png" TargetMode="External"/><Relationship Id="rId682" Type="http://schemas.openxmlformats.org/officeDocument/2006/relationships/image" Target="../media/image339.png"/><Relationship Id="rId128" Type="http://schemas.openxmlformats.org/officeDocument/2006/relationships/image" Target="../media/image64.png"/><Relationship Id="rId335" Type="http://schemas.openxmlformats.org/officeDocument/2006/relationships/hyperlink" Target="https://raw.githubusercontent.com/ItsCryp7iC/Genshin-Image-Hosting/main/MonsterDrops/1Star/FadedRedSatin.png" TargetMode="External"/><Relationship Id="rId542" Type="http://schemas.openxmlformats.org/officeDocument/2006/relationships/image" Target="../media/image269.png"/><Relationship Id="rId987" Type="http://schemas.openxmlformats.org/officeDocument/2006/relationships/hyperlink" Target="https://raw.githubusercontent.com/ItsCryp7iC/Genshin-Image-Hosting/main/Weapons/RecurveBow.png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raw.githubusercontent.com/ItsCryp7iC/Genshin-Image-Hosting/main/Weapons/HarbingerofDawn.png" TargetMode="External"/><Relationship Id="rId1032" Type="http://schemas.openxmlformats.org/officeDocument/2006/relationships/image" Target="../media/image514.png"/><Relationship Id="rId707" Type="http://schemas.openxmlformats.org/officeDocument/2006/relationships/hyperlink" Target="https://raw.githubusercontent.com/ItsCryp7iC/Genshin-Image-Hosting/main/Characters/Yoimiya.png" TargetMode="External"/><Relationship Id="rId914" Type="http://schemas.openxmlformats.org/officeDocument/2006/relationships/image" Target="../media/image455.png"/><Relationship Id="rId43" Type="http://schemas.openxmlformats.org/officeDocument/2006/relationships/hyperlink" Target="https://raw.githubusercontent.com/ItsCryp7iC/Genshin-Image-Hosting/main/WeaponMaterials/TileofDecarabiansTower.png" TargetMode="External"/><Relationship Id="rId192" Type="http://schemas.openxmlformats.org/officeDocument/2006/relationships/image" Target="../media/image96.png"/><Relationship Id="rId497" Type="http://schemas.openxmlformats.org/officeDocument/2006/relationships/image" Target="../media/image248.png"/><Relationship Id="rId357" Type="http://schemas.openxmlformats.org/officeDocument/2006/relationships/hyperlink" Target="https://raw.githubusercontent.com/ItsCryp7iC/Genshin-Image-Hosting/main/LocalSpecialties/GlazeLily.png" TargetMode="External"/><Relationship Id="rId217" Type="http://schemas.openxmlformats.org/officeDocument/2006/relationships/hyperlink" Target="https://raw.githubusercontent.com/ItsCryp7iC/Genshin-Image-Hosting/main/Gems/AgnidusAgateChunk.png" TargetMode="External"/><Relationship Id="rId564" Type="http://schemas.openxmlformats.org/officeDocument/2006/relationships/image" Target="../media/image280.png"/><Relationship Id="rId771" Type="http://schemas.openxmlformats.org/officeDocument/2006/relationships/hyperlink" Target="https://raw.githubusercontent.com/ItsCryp7iC/Genshin-Image-Hosting/main/WeaponMaterials/OldenDaysofScorchingMight.png" TargetMode="External"/><Relationship Id="rId869" Type="http://schemas.openxmlformats.org/officeDocument/2006/relationships/hyperlink" Target="https://raw.githubusercontent.com/ItsCryp7iC/Genshin-Image-Hosting/main/Characters/ShikanoinHeizou.png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raw.githubusercontent.com/ItsCryp7iC/Genshin-Image-Hosting/main/Characters/Gorou.png" TargetMode="External"/><Relationship Id="rId729" Type="http://schemas.openxmlformats.org/officeDocument/2006/relationships/hyperlink" Target="https://raw.githubusercontent.com/ItsCryp7iC/Genshin-Image-Hosting/main/WeaponMaterials/OasisGardensKindness.png" TargetMode="External"/><Relationship Id="rId1054" Type="http://schemas.openxmlformats.org/officeDocument/2006/relationships/image" Target="../media/image525.png"/><Relationship Id="rId936" Type="http://schemas.openxmlformats.org/officeDocument/2006/relationships/image" Target="../media/image466.png"/><Relationship Id="rId1121" Type="http://schemas.openxmlformats.org/officeDocument/2006/relationships/hyperlink" Target="https://raw.githubusercontent.com/ItsCryp7iC/Genshin-Image-Hosting/main/Weapons/WolfFang.png" TargetMode="External"/><Relationship Id="rId65" Type="http://schemas.openxmlformats.org/officeDocument/2006/relationships/hyperlink" Target="https://raw.githubusercontent.com/ItsCryp7iC/Genshin-Image-Hosting/main/WeeklyBoss/DvalinsClaw.png" TargetMode="External"/><Relationship Id="rId281" Type="http://schemas.openxmlformats.org/officeDocument/2006/relationships/hyperlink" Target="https://raw.githubusercontent.com/ItsCryp7iC/Genshin-Image-Hosting/main/Gems/ShivadaJadeGemstone.png" TargetMode="External"/><Relationship Id="rId141" Type="http://schemas.openxmlformats.org/officeDocument/2006/relationships/hyperlink" Target="https://raw.githubusercontent.com/ItsCryp7iC/Genshin-Image-Hosting/main/MonsterDrops/3Star/WeatheredArrowhead.png" TargetMode="External"/><Relationship Id="rId379" Type="http://schemas.openxmlformats.org/officeDocument/2006/relationships/hyperlink" Target="https://raw.githubusercontent.com/ItsCryp7iC/Genshin-Image-Hosting/main/MonsterDrops/2Star/MechanicalSpurGear.png" TargetMode="External"/><Relationship Id="rId586" Type="http://schemas.openxmlformats.org/officeDocument/2006/relationships/image" Target="../media/image291.png"/><Relationship Id="rId793" Type="http://schemas.openxmlformats.org/officeDocument/2006/relationships/hyperlink" Target="https://raw.githubusercontent.com/ItsCryp7iC/Genshin-Image-Hosting/main/Weapons/FlowingPurity.png" TargetMode="External"/><Relationship Id="rId7" Type="http://schemas.openxmlformats.org/officeDocument/2006/relationships/hyperlink" Target="https://raw.githubusercontent.com/ItsCryp7iC/Genshin-Image-Hosting/main/Elements/geo.png" TargetMode="External"/><Relationship Id="rId239" Type="http://schemas.openxmlformats.org/officeDocument/2006/relationships/hyperlink" Target="https://raw.githubusercontent.com/ItsCryp7iC/Genshin-Image-Hosting/main/Gems/AgnidusAgateFragment.png" TargetMode="External"/><Relationship Id="rId446" Type="http://schemas.openxmlformats.org/officeDocument/2006/relationships/image" Target="../media/image223.png"/><Relationship Id="rId653" Type="http://schemas.openxmlformats.org/officeDocument/2006/relationships/hyperlink" Target="https://raw.githubusercontent.com/ItsCryp7iC/Genshin-Image-Hosting/main/TalentBooks/PhilosophiesofEquity.png" TargetMode="External"/><Relationship Id="rId1076" Type="http://schemas.openxmlformats.org/officeDocument/2006/relationships/image" Target="../media/image536.png"/><Relationship Id="rId306" Type="http://schemas.openxmlformats.org/officeDocument/2006/relationships/image" Target="../media/image153.png"/><Relationship Id="rId860" Type="http://schemas.openxmlformats.org/officeDocument/2006/relationships/image" Target="../media/image428.png"/><Relationship Id="rId958" Type="http://schemas.openxmlformats.org/officeDocument/2006/relationships/image" Target="../media/image477.png"/><Relationship Id="rId87" Type="http://schemas.openxmlformats.org/officeDocument/2006/relationships/hyperlink" Target="https://raw.githubusercontent.com/ItsCryp7iC/Genshin-Image-Hosting/main/Experience/FineEnhancementOre.png" TargetMode="External"/><Relationship Id="rId513" Type="http://schemas.openxmlformats.org/officeDocument/2006/relationships/hyperlink" Target="https://raw.githubusercontent.com/ItsCryp7iC/Genshin-Image-Hosting/main/Characters/TravelerDendro.png" TargetMode="External"/><Relationship Id="rId720" Type="http://schemas.openxmlformats.org/officeDocument/2006/relationships/image" Target="../media/image358.png"/><Relationship Id="rId818" Type="http://schemas.openxmlformats.org/officeDocument/2006/relationships/image" Target="../media/image407.png"/><Relationship Id="rId1003" Type="http://schemas.openxmlformats.org/officeDocument/2006/relationships/hyperlink" Target="https://raw.githubusercontent.com/ItsCryp7iC/Genshin-Image-Hosting/main/Weapons/Rust.png" TargetMode="External"/><Relationship Id="rId14" Type="http://schemas.openxmlformats.org/officeDocument/2006/relationships/image" Target="../media/image7.png"/><Relationship Id="rId163" Type="http://schemas.openxmlformats.org/officeDocument/2006/relationships/hyperlink" Target="https://raw.githubusercontent.com/ItsCryp7iC/Genshin-Image-Hosting/main/TalentBooks/PhilosophiesofJustice.png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468" Type="http://schemas.openxmlformats.org/officeDocument/2006/relationships/image" Target="../media/image234.png"/><Relationship Id="rId675" Type="http://schemas.openxmlformats.org/officeDocument/2006/relationships/hyperlink" Target="https://raw.githubusercontent.com/ItsCryp7iC/Genshin-Image-Hosting/main/TalentBooks/TeachingsofPraxis.png" TargetMode="External"/><Relationship Id="rId882" Type="http://schemas.openxmlformats.org/officeDocument/2006/relationships/image" Target="../media/image439.png"/><Relationship Id="rId1098" Type="http://schemas.openxmlformats.org/officeDocument/2006/relationships/image" Target="../media/image547.png"/><Relationship Id="rId25" Type="http://schemas.openxmlformats.org/officeDocument/2006/relationships/hyperlink" Target="https://raw.githubusercontent.com/ItsCryp7iC/Genshin-Image-Hosting/main/MonsterDrops/3Star/SlimeConcentrate.png" TargetMode="External"/><Relationship Id="rId328" Type="http://schemas.openxmlformats.org/officeDocument/2006/relationships/image" Target="../media/image164.png"/><Relationship Id="rId535" Type="http://schemas.openxmlformats.org/officeDocument/2006/relationships/hyperlink" Target="https://raw.githubusercontent.com/ItsCryp7iC/Genshin-Image-Hosting/main/TalentBooks/TeachingsofElegance.png" TargetMode="External"/><Relationship Id="rId742" Type="http://schemas.openxmlformats.org/officeDocument/2006/relationships/image" Target="../media/image369.png"/><Relationship Id="rId174" Type="http://schemas.openxmlformats.org/officeDocument/2006/relationships/image" Target="../media/image87.png"/><Relationship Id="rId381" Type="http://schemas.openxmlformats.org/officeDocument/2006/relationships/hyperlink" Target="https://raw.githubusercontent.com/ItsCryp7iC/Genshin-Image-Hosting/main/MonsterDrops/1Star/MeshingGear.png" TargetMode="External"/><Relationship Id="rId602" Type="http://schemas.openxmlformats.org/officeDocument/2006/relationships/image" Target="../media/image299.png"/><Relationship Id="rId1025" Type="http://schemas.openxmlformats.org/officeDocument/2006/relationships/hyperlink" Target="https://raw.githubusercontent.com/ItsCryp7iC/Genshin-Image-Hosting/main/Weapons/SkyriderSword.png" TargetMode="External"/><Relationship Id="rId241" Type="http://schemas.openxmlformats.org/officeDocument/2006/relationships/hyperlink" Target="https://raw.githubusercontent.com/ItsCryp7iC/Genshin-Image-Hosting/main/Misc/options.png" TargetMode="External"/><Relationship Id="rId479" Type="http://schemas.openxmlformats.org/officeDocument/2006/relationships/hyperlink" Target="https://raw.githubusercontent.com/ItsCryp7iC/Genshin-Image-Hosting/main/WeeklyBoss/PuppetStrings.png" TargetMode="External"/><Relationship Id="rId686" Type="http://schemas.openxmlformats.org/officeDocument/2006/relationships/image" Target="../media/image341.png"/><Relationship Id="rId893" Type="http://schemas.openxmlformats.org/officeDocument/2006/relationships/hyperlink" Target="https://raw.githubusercontent.com/ItsCryp7iC/Genshin-Image-Hosting/main/Characters/Yanfei.png" TargetMode="External"/><Relationship Id="rId907" Type="http://schemas.openxmlformats.org/officeDocument/2006/relationships/hyperlink" Target="https://raw.githubusercontent.com/ItsCryp7iC/Genshin-Image-Hosting/main/Weapons/LostPrayertotheSacredWinds.png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raw.githubusercontent.com/ItsCryp7iC/Genshin-Image-Hosting/main/LocalSpecialties/SilkFlower.png" TargetMode="External"/><Relationship Id="rId546" Type="http://schemas.openxmlformats.org/officeDocument/2006/relationships/image" Target="../media/image271.png"/><Relationship Id="rId753" Type="http://schemas.openxmlformats.org/officeDocument/2006/relationships/hyperlink" Target="https://raw.githubusercontent.com/ItsCryp7iC/Genshin-Image-Hosting/main/WeaponMaterials/EchoofScorchingMight.png" TargetMode="External"/><Relationship Id="rId101" Type="http://schemas.openxmlformats.org/officeDocument/2006/relationships/hyperlink" Target="https://raw.githubusercontent.com/ItsCryp7iC/Genshin-Image-Hosting/main/Gems/AgnidusAgateGemstone.png" TargetMode="External"/><Relationship Id="rId185" Type="http://schemas.openxmlformats.org/officeDocument/2006/relationships/hyperlink" Target="https://raw.githubusercontent.com/ItsCryp7iC/Genshin-Image-Hosting/main/Misc/characters.png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78.png"/><Relationship Id="rId1036" Type="http://schemas.openxmlformats.org/officeDocument/2006/relationships/image" Target="../media/image516.png"/><Relationship Id="rId392" Type="http://schemas.openxmlformats.org/officeDocument/2006/relationships/image" Target="../media/image196.png"/><Relationship Id="rId613" Type="http://schemas.openxmlformats.org/officeDocument/2006/relationships/hyperlink" Target="https://raw.githubusercontent.com/ItsCryp7iC/Genshin-Image-Hosting/main/LocalSpecialties/KalpalataLotus.png" TargetMode="External"/><Relationship Id="rId697" Type="http://schemas.openxmlformats.org/officeDocument/2006/relationships/hyperlink" Target="https://raw.githubusercontent.com/ItsCryp7iC/Genshin-Image-Hosting/main/WeaponMaterials/IronTalismanoftheForestDew.png" TargetMode="External"/><Relationship Id="rId820" Type="http://schemas.openxmlformats.org/officeDocument/2006/relationships/image" Target="../media/image408.png"/><Relationship Id="rId918" Type="http://schemas.openxmlformats.org/officeDocument/2006/relationships/image" Target="../media/image457.png"/><Relationship Id="rId252" Type="http://schemas.openxmlformats.org/officeDocument/2006/relationships/image" Target="../media/image126.png"/><Relationship Id="rId1103" Type="http://schemas.openxmlformats.org/officeDocument/2006/relationships/hyperlink" Target="https://raw.githubusercontent.com/ItsCryp7iC/Genshin-Image-Hosting/main/Weapons/Verdict.png" TargetMode="External"/><Relationship Id="rId47" Type="http://schemas.openxmlformats.org/officeDocument/2006/relationships/hyperlink" Target="https://raw.githubusercontent.com/ItsCryp7iC/Genshin-Image-Hosting/main/Characters/Alhaitham.png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raw.githubusercontent.com/ItsCryp7iC/Genshin-Image-Hosting/main/WeeklyBoss/LightlessEyeoftheMaelstrom.png" TargetMode="External"/><Relationship Id="rId764" Type="http://schemas.openxmlformats.org/officeDocument/2006/relationships/image" Target="../media/image380.png"/><Relationship Id="rId971" Type="http://schemas.openxmlformats.org/officeDocument/2006/relationships/hyperlink" Target="https://raw.githubusercontent.com/ItsCryp7iC/Genshin-Image-Hosting/main/Weapons/PrototypeAmber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raw.githubusercontent.com/ItsCryp7iC/Genshin-Image-Hosting/main/WorldBoss/DragonheirsFalseFin.png" TargetMode="External"/><Relationship Id="rId624" Type="http://schemas.openxmlformats.org/officeDocument/2006/relationships/image" Target="../media/image310.png"/><Relationship Id="rId831" Type="http://schemas.openxmlformats.org/officeDocument/2006/relationships/hyperlink" Target="https://raw.githubusercontent.com/ItsCryp7iC/Genshin-Image-Hosting/main/WeaponMaterials/WineGobletofthePristineSea.png" TargetMode="External"/><Relationship Id="rId1047" Type="http://schemas.openxmlformats.org/officeDocument/2006/relationships/hyperlink" Target="https://raw.githubusercontent.com/ItsCryp7iC/Genshin-Image-Hosting/main/Weapons/SplendorofTranquilWaters.png" TargetMode="External"/><Relationship Id="rId263" Type="http://schemas.openxmlformats.org/officeDocument/2006/relationships/hyperlink" Target="https://raw.githubusercontent.com/ItsCryp7iC/Genshin-Image-Hosting/main/MonsterDrops/3Star/FamedHandguard.png" TargetMode="External"/><Relationship Id="rId470" Type="http://schemas.openxmlformats.org/officeDocument/2006/relationships/image" Target="../media/image235.png"/><Relationship Id="rId929" Type="http://schemas.openxmlformats.org/officeDocument/2006/relationships/hyperlink" Target="https://raw.githubusercontent.com/ItsCryp7iC/Genshin-Image-Hosting/main/Characters/Thoma.png" TargetMode="External"/><Relationship Id="rId1114" Type="http://schemas.openxmlformats.org/officeDocument/2006/relationships/image" Target="../media/image555.png"/><Relationship Id="rId58" Type="http://schemas.openxmlformats.org/officeDocument/2006/relationships/image" Target="../media/image29.png"/><Relationship Id="rId123" Type="http://schemas.openxmlformats.org/officeDocument/2006/relationships/hyperlink" Target="https://raw.githubusercontent.com/ItsCryp7iC/Genshin-Image-Hosting/main/WeaponMaterials/FragmentofDecarabiansEpic.png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2.png"/><Relationship Id="rId775" Type="http://schemas.openxmlformats.org/officeDocument/2006/relationships/hyperlink" Target="https://raw.githubusercontent.com/ItsCryp7iC/Genshin-Image-Hosting/main/Weapons/FilletBlade.png" TargetMode="External"/><Relationship Id="rId982" Type="http://schemas.openxmlformats.org/officeDocument/2006/relationships/image" Target="../media/image489.png"/><Relationship Id="rId428" Type="http://schemas.openxmlformats.org/officeDocument/2006/relationships/image" Target="../media/image214.png"/><Relationship Id="rId635" Type="http://schemas.openxmlformats.org/officeDocument/2006/relationships/hyperlink" Target="https://raw.githubusercontent.com/ItsCryp7iC/Genshin-Image-Hosting/main/Gems/PrithivaTopazSilver.png" TargetMode="External"/><Relationship Id="rId842" Type="http://schemas.openxmlformats.org/officeDocument/2006/relationships/image" Target="../media/image419.png"/><Relationship Id="rId1058" Type="http://schemas.openxmlformats.org/officeDocument/2006/relationships/image" Target="../media/image527.png"/><Relationship Id="rId274" Type="http://schemas.openxmlformats.org/officeDocument/2006/relationships/image" Target="../media/image137.png"/><Relationship Id="rId481" Type="http://schemas.openxmlformats.org/officeDocument/2006/relationships/hyperlink" Target="https://raw.githubusercontent.com/ItsCryp7iC/Genshin-Image-Hosting/main/Gems/VajradaAmethystFragment.png" TargetMode="External"/><Relationship Id="rId702" Type="http://schemas.openxmlformats.org/officeDocument/2006/relationships/image" Target="../media/image349.png"/><Relationship Id="rId1125" Type="http://schemas.openxmlformats.org/officeDocument/2006/relationships/hyperlink" Target="https://raw.githubusercontent.com/ItsCryp7iC/Genshin-Image-Hosting/main/Weapons/XiphosMoonlight.png" TargetMode="External"/><Relationship Id="rId69" Type="http://schemas.openxmlformats.org/officeDocument/2006/relationships/hyperlink" Target="https://raw.githubusercontent.com/ItsCryp7iC/Genshin-Image-Hosting/main/MonsterDrops/2Star/StainedMask.png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raw.githubusercontent.com/ItsCryp7iC/Genshin-Image-Hosting/main/Weapons/CrimsonMoonsSemblance.png" TargetMode="External"/><Relationship Id="rId786" Type="http://schemas.openxmlformats.org/officeDocument/2006/relationships/image" Target="../media/image391.png"/><Relationship Id="rId993" Type="http://schemas.openxmlformats.org/officeDocument/2006/relationships/hyperlink" Target="https://raw.githubusercontent.com/ItsCryp7iC/Genshin-Image-Hosting/main/Weapons/RoyalBow.png" TargetMode="External"/><Relationship Id="rId341" Type="http://schemas.openxmlformats.org/officeDocument/2006/relationships/hyperlink" Target="https://raw.githubusercontent.com/ItsCryp7iC/Genshin-Image-Hosting/main/Gems/VarunadaLazuriteFragment.png" TargetMode="External"/><Relationship Id="rId439" Type="http://schemas.openxmlformats.org/officeDocument/2006/relationships/hyperlink" Target="https://raw.githubusercontent.com/ItsCryp7iC/Genshin-Image-Hosting/main/Gems/NagadusEmeraldSilver.png" TargetMode="External"/><Relationship Id="rId646" Type="http://schemas.openxmlformats.org/officeDocument/2006/relationships/image" Target="../media/image321.png"/><Relationship Id="rId1069" Type="http://schemas.openxmlformats.org/officeDocument/2006/relationships/hyperlink" Target="https://raw.githubusercontent.com/ItsCryp7iC/Genshin-Image-Hosting/main/Weapons/TheDockhandsAssistant.png" TargetMode="External"/><Relationship Id="rId201" Type="http://schemas.openxmlformats.org/officeDocument/2006/relationships/hyperlink" Target="https://raw.githubusercontent.com/ItsCryp7iC/Genshin-Image-Hosting/main/MonsterDrops/3Star/EnergyNectar.png" TargetMode="External"/><Relationship Id="rId285" Type="http://schemas.openxmlformats.org/officeDocument/2006/relationships/hyperlink" Target="https://raw.githubusercontent.com/ItsCryp7iC/Genshin-Image-Hosting/main/MonsterDrops/2Star/SpectralHeart.png" TargetMode="External"/><Relationship Id="rId506" Type="http://schemas.openxmlformats.org/officeDocument/2006/relationships/image" Target="../media/image252.png"/><Relationship Id="rId853" Type="http://schemas.openxmlformats.org/officeDocument/2006/relationships/hyperlink" Target="https://raw.githubusercontent.com/ItsCryp7iC/Genshin-Image-Hosting/main/Characters/Nahida.png" TargetMode="External"/><Relationship Id="rId492" Type="http://schemas.openxmlformats.org/officeDocument/2006/relationships/hyperlink" Target="https://raw.githubusercontent.com/ItsCryp7iC/Genshin-Image-Hosting/main/LocalSpecialties/CrystalMarrow.png" TargetMode="External"/><Relationship Id="rId713" Type="http://schemas.openxmlformats.org/officeDocument/2006/relationships/hyperlink" Target="https://raw.githubusercontent.com/ItsCryp7iC/Genshin-Image-Hosting/main/Characters/AratakiItto.png" TargetMode="External"/><Relationship Id="rId797" Type="http://schemas.openxmlformats.org/officeDocument/2006/relationships/hyperlink" Target="https://raw.githubusercontent.com/ItsCryp7iC/Genshin-Image-Hosting/main/Characters/Razor.png" TargetMode="External"/><Relationship Id="rId920" Type="http://schemas.openxmlformats.org/officeDocument/2006/relationships/image" Target="../media/image458.png"/><Relationship Id="rId145" Type="http://schemas.openxmlformats.org/officeDocument/2006/relationships/hyperlink" Target="https://raw.githubusercontent.com/ItsCryp7iC/Genshin-Image-Hosting/main/MonsterDrops/1Star/FirmArrowhead.png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raw.githubusercontent.com/ItsCryp7iC/Genshin-Image-Hosting/main/LocalSpecialties/Trishiraite.png" TargetMode="External"/><Relationship Id="rId864" Type="http://schemas.openxmlformats.org/officeDocument/2006/relationships/image" Target="../media/image430.png"/><Relationship Id="rId296" Type="http://schemas.openxmlformats.org/officeDocument/2006/relationships/image" Target="../media/image148.png"/><Relationship Id="rId517" Type="http://schemas.openxmlformats.org/officeDocument/2006/relationships/image" Target="../media/image257.png"/><Relationship Id="rId724" Type="http://schemas.openxmlformats.org/officeDocument/2006/relationships/image" Target="../media/image360.png"/><Relationship Id="rId931" Type="http://schemas.openxmlformats.org/officeDocument/2006/relationships/hyperlink" Target="https://raw.githubusercontent.com/ItsCryp7iC/Genshin-Image-Hosting/main/Weapons/MemoryofDust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raw.githubusercontent.com/ItsCryp7iC/Genshin-Image-Hosting/main/WeaponMaterials/DreamoftheDandelionGladiator.png" TargetMode="External"/><Relationship Id="rId570" Type="http://schemas.openxmlformats.org/officeDocument/2006/relationships/image" Target="../media/image283.png"/><Relationship Id="rId1007" Type="http://schemas.openxmlformats.org/officeDocument/2006/relationships/hyperlink" Target="https://raw.githubusercontent.com/ItsCryp7iC/Genshin-Image-Hosting/main/Weapons/SacrificialFragments.png" TargetMode="External"/><Relationship Id="rId223" Type="http://schemas.openxmlformats.org/officeDocument/2006/relationships/hyperlink" Target="https://raw.githubusercontent.com/ItsCryp7iC/Genshin-Image-Hosting/main/WeaponMaterials/BorealWolfsCrackedTooth.png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2.png"/><Relationship Id="rId875" Type="http://schemas.openxmlformats.org/officeDocument/2006/relationships/hyperlink" Target="https://raw.githubusercontent.com/ItsCryp7iC/Genshin-Image-Hosting/main/Weapons/KatsuragikiriNagamasa.png" TargetMode="External"/><Relationship Id="rId1060" Type="http://schemas.openxmlformats.org/officeDocument/2006/relationships/image" Target="../media/image528.png"/><Relationship Id="rId18" Type="http://schemas.openxmlformats.org/officeDocument/2006/relationships/image" Target="../media/image9.png"/><Relationship Id="rId528" Type="http://schemas.openxmlformats.org/officeDocument/2006/relationships/image" Target="../media/image262.png"/><Relationship Id="rId735" Type="http://schemas.openxmlformats.org/officeDocument/2006/relationships/hyperlink" Target="https://raw.githubusercontent.com/ItsCryp7iC/Genshin-Image-Hosting/main/Weapons/FavoniusGreatsword.png" TargetMode="External"/><Relationship Id="rId942" Type="http://schemas.openxmlformats.org/officeDocument/2006/relationships/image" Target="../media/image469.png"/><Relationship Id="rId167" Type="http://schemas.openxmlformats.org/officeDocument/2006/relationships/hyperlink" Target="https://raw.githubusercontent.com/ItsCryp7iC/Genshin-Image-Hosting/main/LocalSpecialties/Lumitoile.png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raw.githubusercontent.com/ItsCryp7iC/Genshin-Image-Hosting/main/WeaponMaterials/JadeBranchofaDistantSea.png" TargetMode="External"/><Relationship Id="rId1018" Type="http://schemas.openxmlformats.org/officeDocument/2006/relationships/image" Target="../media/image507.png"/><Relationship Id="rId71" Type="http://schemas.openxmlformats.org/officeDocument/2006/relationships/hyperlink" Target="https://raw.githubusercontent.com/ItsCryp7iC/Genshin-Image-Hosting/main/MonsterDrops/1Star/DamagedMask.png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raw.githubusercontent.com/ItsCryp7iC/Genshin-Image-Hosting/main/Weapons/EmeraldOrb.png" TargetMode="External"/><Relationship Id="rId802" Type="http://schemas.openxmlformats.org/officeDocument/2006/relationships/image" Target="../media/image399.png"/><Relationship Id="rId886" Type="http://schemas.openxmlformats.org/officeDocument/2006/relationships/image" Target="../media/image441.png"/><Relationship Id="rId2" Type="http://schemas.openxmlformats.org/officeDocument/2006/relationships/image" Target="../media/image1.png"/><Relationship Id="rId29" Type="http://schemas.openxmlformats.org/officeDocument/2006/relationships/hyperlink" Target="https://raw.githubusercontent.com/ItsCryp7iC/Genshin-Image-Hosting/main/MonsterDrops/1Star/SlimeCondensate.png" TargetMode="External"/><Relationship Id="rId441" Type="http://schemas.openxmlformats.org/officeDocument/2006/relationships/hyperlink" Target="https://raw.githubusercontent.com/ItsCryp7iC/Genshin-Image-Hosting/main/Weapons/BlackcliffWarbow.png" TargetMode="External"/><Relationship Id="rId539" Type="http://schemas.openxmlformats.org/officeDocument/2006/relationships/hyperlink" Target="https://raw.githubusercontent.com/ItsCryp7iC/Genshin-Image-Hosting/main/Gems/VayudaTurquoiseSilver.png" TargetMode="External"/><Relationship Id="rId746" Type="http://schemas.openxmlformats.org/officeDocument/2006/relationships/image" Target="../media/image371.png"/><Relationship Id="rId1071" Type="http://schemas.openxmlformats.org/officeDocument/2006/relationships/hyperlink" Target="https://raw.githubusercontent.com/ItsCryp7iC/Genshin-Image-Hosting/main/Weapons/TheFirstGreatMagic.png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raw.githubusercontent.com/ItsCryp7iC/Genshin-Image-Hosting/main/WeeklyBoss/BloodjadeBranch.png" TargetMode="External"/><Relationship Id="rId953" Type="http://schemas.openxmlformats.org/officeDocument/2006/relationships/hyperlink" Target="https://raw.githubusercontent.com/ItsCryp7iC/Genshin-Image-Hosting/main/Weapons/MouunsMoon.png" TargetMode="External"/><Relationship Id="rId1029" Type="http://schemas.openxmlformats.org/officeDocument/2006/relationships/hyperlink" Target="https://raw.githubusercontent.com/ItsCryp7iC/Genshin-Image-Hosting/main/Weapons/SkywardBlade.png" TargetMode="External"/><Relationship Id="rId82" Type="http://schemas.openxmlformats.org/officeDocument/2006/relationships/image" Target="../media/image41.png"/><Relationship Id="rId385" Type="http://schemas.openxmlformats.org/officeDocument/2006/relationships/hyperlink" Target="https://raw.githubusercontent.com/ItsCryp7iC/Genshin-Image-Hosting/main/Weapons/BlackcliffLongsword.png" TargetMode="External"/><Relationship Id="rId592" Type="http://schemas.openxmlformats.org/officeDocument/2006/relationships/image" Target="../media/image294.png"/><Relationship Id="rId606" Type="http://schemas.openxmlformats.org/officeDocument/2006/relationships/image" Target="../media/image301.png"/><Relationship Id="rId813" Type="http://schemas.openxmlformats.org/officeDocument/2006/relationships/hyperlink" Target="https://raw.githubusercontent.com/ItsCryp7iC/Genshin-Image-Hosting/main/WeaponMaterials/SpringofPureSacredDewdrop.png" TargetMode="External"/><Relationship Id="rId245" Type="http://schemas.openxmlformats.org/officeDocument/2006/relationships/hyperlink" Target="https://raw.githubusercontent.com/ItsCryp7iC/Genshin-Image-Hosting/main/Weapons/AquilaFavonia.png" TargetMode="External"/><Relationship Id="rId452" Type="http://schemas.openxmlformats.org/officeDocument/2006/relationships/image" Target="../media/image226.png"/><Relationship Id="rId897" Type="http://schemas.openxmlformats.org/officeDocument/2006/relationships/hyperlink" Target="https://raw.githubusercontent.com/ItsCryp7iC/Genshin-Image-Hosting/main/Characters/Candace.png" TargetMode="External"/><Relationship Id="rId1082" Type="http://schemas.openxmlformats.org/officeDocument/2006/relationships/image" Target="../media/image539.png"/><Relationship Id="rId105" Type="http://schemas.openxmlformats.org/officeDocument/2006/relationships/hyperlink" Target="https://raw.githubusercontent.com/ItsCryp7iC/Genshin-Image-Hosting/main/WeeklyBoss/DvalinsSigh.png" TargetMode="External"/><Relationship Id="rId312" Type="http://schemas.openxmlformats.org/officeDocument/2006/relationships/image" Target="../media/image156.png"/><Relationship Id="rId757" Type="http://schemas.openxmlformats.org/officeDocument/2006/relationships/hyperlink" Target="https://raw.githubusercontent.com/ItsCryp7iC/Genshin-Image-Hosting/main/Weapons/FavoniusWarbow.png" TargetMode="External"/><Relationship Id="rId964" Type="http://schemas.openxmlformats.org/officeDocument/2006/relationships/image" Target="../media/image480.png"/><Relationship Id="rId93" Type="http://schemas.openxmlformats.org/officeDocument/2006/relationships/hyperlink" Target="https://raw.githubusercontent.com/ItsCryp7iC/Genshin-Image-Hosting/main/WorldBoss/EverflameSeed.png" TargetMode="External"/><Relationship Id="rId189" Type="http://schemas.openxmlformats.org/officeDocument/2006/relationships/hyperlink" Target="https://raw.githubusercontent.com/ItsCryp7iC/Genshin-Image-Hosting/main/Elements/hydro.png" TargetMode="External"/><Relationship Id="rId396" Type="http://schemas.openxmlformats.org/officeDocument/2006/relationships/image" Target="../media/image198.png"/><Relationship Id="rId617" Type="http://schemas.openxmlformats.org/officeDocument/2006/relationships/hyperlink" Target="https://raw.githubusercontent.com/ItsCryp7iC/Genshin-Image-Hosting/main/Weapons/DebateClub.png" TargetMode="External"/><Relationship Id="rId824" Type="http://schemas.openxmlformats.org/officeDocument/2006/relationships/image" Target="../media/image410.png"/><Relationship Id="rId256" Type="http://schemas.openxmlformats.org/officeDocument/2006/relationships/image" Target="../media/image128.png"/><Relationship Id="rId463" Type="http://schemas.openxmlformats.org/officeDocument/2006/relationships/hyperlink" Target="https://raw.githubusercontent.com/ItsCryp7iC/Genshin-Image-Hosting/main/WorldBoss/ThunderclapFruitcore.png" TargetMode="External"/><Relationship Id="rId670" Type="http://schemas.openxmlformats.org/officeDocument/2006/relationships/image" Target="../media/image333.png"/><Relationship Id="rId1093" Type="http://schemas.openxmlformats.org/officeDocument/2006/relationships/hyperlink" Target="https://raw.githubusercontent.com/ItsCryp7iC/Genshin-Image-Hosting/main/Weapons/TravelersHandySword.png" TargetMode="External"/><Relationship Id="rId1107" Type="http://schemas.openxmlformats.org/officeDocument/2006/relationships/hyperlink" Target="https://raw.githubusercontent.com/ItsCryp7iC/Genshin-Image-Hosting/main/Weapons/WanderingEvenstar.png" TargetMode="External"/><Relationship Id="rId116" Type="http://schemas.openxmlformats.org/officeDocument/2006/relationships/image" Target="../media/image58.png"/><Relationship Id="rId323" Type="http://schemas.openxmlformats.org/officeDocument/2006/relationships/hyperlink" Target="https://raw.githubusercontent.com/ItsCryp7iC/Genshin-Image-Hosting/main/WeaponMaterials/ChainsoftheDandelionGladiator.png" TargetMode="External"/><Relationship Id="rId530" Type="http://schemas.openxmlformats.org/officeDocument/2006/relationships/image" Target="../media/image263.png"/><Relationship Id="rId768" Type="http://schemas.openxmlformats.org/officeDocument/2006/relationships/image" Target="../media/image382.png"/><Relationship Id="rId975" Type="http://schemas.openxmlformats.org/officeDocument/2006/relationships/hyperlink" Target="https://raw.githubusercontent.com/ItsCryp7iC/Genshin-Image-Hosting/main/Weapons/PrototypeCrescent.png" TargetMode="External"/><Relationship Id="rId20" Type="http://schemas.openxmlformats.org/officeDocument/2006/relationships/image" Target="../media/image10.png"/><Relationship Id="rId628" Type="http://schemas.openxmlformats.org/officeDocument/2006/relationships/image" Target="../media/image312.png"/><Relationship Id="rId835" Type="http://schemas.openxmlformats.org/officeDocument/2006/relationships/hyperlink" Target="https://raw.githubusercontent.com/ItsCryp7iC/Genshin-Image-Hosting/main/Weapons/Hamayumi.png" TargetMode="External"/><Relationship Id="rId267" Type="http://schemas.openxmlformats.org/officeDocument/2006/relationships/hyperlink" Target="https://raw.githubusercontent.com/ItsCryp7iC/Genshin-Image-Hosting/main/MonsterDrops/1Star/OldHandguard.png" TargetMode="External"/><Relationship Id="rId474" Type="http://schemas.openxmlformats.org/officeDocument/2006/relationships/image" Target="../media/image237.png"/><Relationship Id="rId1020" Type="http://schemas.openxmlformats.org/officeDocument/2006/relationships/image" Target="../media/image508.png"/><Relationship Id="rId1118" Type="http://schemas.openxmlformats.org/officeDocument/2006/relationships/image" Target="../media/image557.png"/><Relationship Id="rId127" Type="http://schemas.openxmlformats.org/officeDocument/2006/relationships/hyperlink" Target="https://raw.githubusercontent.com/ItsCryp7iC/Genshin-Image-Hosting/main/Characters/Chiori.png" TargetMode="External"/><Relationship Id="rId681" Type="http://schemas.openxmlformats.org/officeDocument/2006/relationships/hyperlink" Target="https://raw.githubusercontent.com/ItsCryp7iC/Genshin-Image-Hosting/main/WeaponMaterials/MaskoftheKijin.png" TargetMode="External"/><Relationship Id="rId779" Type="http://schemas.openxmlformats.org/officeDocument/2006/relationships/hyperlink" Target="https://raw.githubusercontent.com/ItsCryp7iC/Genshin-Image-Hosting/main/Characters/Kaveh.png" TargetMode="External"/><Relationship Id="rId902" Type="http://schemas.openxmlformats.org/officeDocument/2006/relationships/image" Target="../media/image449.png"/><Relationship Id="rId986" Type="http://schemas.openxmlformats.org/officeDocument/2006/relationships/image" Target="../media/image491.png"/><Relationship Id="rId31" Type="http://schemas.openxmlformats.org/officeDocument/2006/relationships/hyperlink" Target="https://raw.githubusercontent.com/ItsCryp7iC/Genshin-Image-Hosting/main/TalentBooks/PhilosophiesofFreedom.png" TargetMode="External"/><Relationship Id="rId334" Type="http://schemas.openxmlformats.org/officeDocument/2006/relationships/image" Target="../media/image167.png"/><Relationship Id="rId541" Type="http://schemas.openxmlformats.org/officeDocument/2006/relationships/hyperlink" Target="https://raw.githubusercontent.com/ItsCryp7iC/Genshin-Image-Hosting/main/Weapons/CoolSteel.png" TargetMode="External"/><Relationship Id="rId639" Type="http://schemas.openxmlformats.org/officeDocument/2006/relationships/hyperlink" Target="https://raw.githubusercontent.com/ItsCryp7iC/Genshin-Image-Hosting/main/WeaponMaterials/NarukamisValor.png" TargetMode="External"/><Relationship Id="rId180" Type="http://schemas.openxmlformats.org/officeDocument/2006/relationships/image" Target="../media/image90.png"/><Relationship Id="rId278" Type="http://schemas.openxmlformats.org/officeDocument/2006/relationships/image" Target="../media/image139.png"/><Relationship Id="rId401" Type="http://schemas.openxmlformats.org/officeDocument/2006/relationships/hyperlink" Target="https://raw.githubusercontent.com/ItsCryp7iC/Genshin-Image-Hosting/main/TalentBooks/GuidetoDiligence.png" TargetMode="External"/><Relationship Id="rId846" Type="http://schemas.openxmlformats.org/officeDocument/2006/relationships/image" Target="../media/image421.png"/><Relationship Id="rId1031" Type="http://schemas.openxmlformats.org/officeDocument/2006/relationships/hyperlink" Target="https://raw.githubusercontent.com/ItsCryp7iC/Genshin-Image-Hosting/main/Weapons/SkywardHarp.png" TargetMode="External"/><Relationship Id="rId485" Type="http://schemas.openxmlformats.org/officeDocument/2006/relationships/hyperlink" Target="https://raw.githubusercontent.com/ItsCryp7iC/Genshin-Image-Hosting/main/WeaponMaterials/MistVeiledGoldElixir.png" TargetMode="External"/><Relationship Id="rId692" Type="http://schemas.openxmlformats.org/officeDocument/2006/relationships/image" Target="../media/image344.png"/><Relationship Id="rId706" Type="http://schemas.openxmlformats.org/officeDocument/2006/relationships/image" Target="../media/image351.png"/><Relationship Id="rId913" Type="http://schemas.openxmlformats.org/officeDocument/2006/relationships/hyperlink" Target="https://raw.githubusercontent.com/ItsCryp7iC/Genshin-Image-Hosting/main/Characters/Mika.png" TargetMode="External"/><Relationship Id="rId42" Type="http://schemas.openxmlformats.org/officeDocument/2006/relationships/image" Target="../media/image21.png"/><Relationship Id="rId138" Type="http://schemas.openxmlformats.org/officeDocument/2006/relationships/image" Target="../media/image69.png"/><Relationship Id="rId345" Type="http://schemas.openxmlformats.org/officeDocument/2006/relationships/hyperlink" Target="https://raw.githubusercontent.com/ItsCryp7iC/Genshin-Image-Hosting/main/WeaponMaterials/ShacklesoftheDandelionGladiator.png" TargetMode="External"/><Relationship Id="rId552" Type="http://schemas.openxmlformats.org/officeDocument/2006/relationships/image" Target="../media/image274.png"/><Relationship Id="rId997" Type="http://schemas.openxmlformats.org/officeDocument/2006/relationships/hyperlink" Target="https://raw.githubusercontent.com/ItsCryp7iC/Genshin-Image-Hosting/main/Weapons/RoyalGrimoire.png" TargetMode="External"/><Relationship Id="rId191" Type="http://schemas.openxmlformats.org/officeDocument/2006/relationships/hyperlink" Target="https://raw.githubusercontent.com/ItsCryp7iC/Genshin-Image-Hosting/main/Weapons/AmosBow.png" TargetMode="External"/><Relationship Id="rId205" Type="http://schemas.openxmlformats.org/officeDocument/2006/relationships/hyperlink" Target="https://raw.githubusercontent.com/ItsCryp7iC/Genshin-Image-Hosting/main/Gems/VarunadaLazuriteGemstone.png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raw.githubusercontent.com/ItsCryp7iC/Genshin-Image-Hosting/main/Characters/Neuvillette.png" TargetMode="External"/><Relationship Id="rId1042" Type="http://schemas.openxmlformats.org/officeDocument/2006/relationships/image" Target="../media/image519.png"/><Relationship Id="rId289" Type="http://schemas.openxmlformats.org/officeDocument/2006/relationships/hyperlink" Target="https://raw.githubusercontent.com/ItsCryp7iC/Genshin-Image-Hosting/main/TalentBooks/TeachingsofBallad.png" TargetMode="External"/><Relationship Id="rId496" Type="http://schemas.openxmlformats.org/officeDocument/2006/relationships/hyperlink" Target="https://raw.githubusercontent.com/ItsCryp7iC/Genshin-Image-Hosting/main/Weapons/CashflowSupervision.png" TargetMode="External"/><Relationship Id="rId717" Type="http://schemas.openxmlformats.org/officeDocument/2006/relationships/hyperlink" Target="https://raw.githubusercontent.com/ItsCryp7iC/Genshin-Image-Hosting/main/Weapons/FadingTwilight.png" TargetMode="External"/><Relationship Id="rId924" Type="http://schemas.openxmlformats.org/officeDocument/2006/relationships/image" Target="../media/image460.png"/><Relationship Id="rId53" Type="http://schemas.openxmlformats.org/officeDocument/2006/relationships/hyperlink" Target="https://raw.githubusercontent.com/ItsCryp7iC/Genshin-Image-Hosting/main/WeeklyBoss/MirrorofMushin.png" TargetMode="External"/><Relationship Id="rId149" Type="http://schemas.openxmlformats.org/officeDocument/2006/relationships/hyperlink" Target="https://raw.githubusercontent.com/ItsCryp7iC/Genshin-Image-Hosting/main/Misc/resin.png" TargetMode="External"/><Relationship Id="rId356" Type="http://schemas.openxmlformats.org/officeDocument/2006/relationships/image" Target="../media/image178.png"/><Relationship Id="rId563" Type="http://schemas.openxmlformats.org/officeDocument/2006/relationships/hyperlink" Target="https://raw.githubusercontent.com/ItsCryp7iC/Genshin-Image-Hosting/main/Gems/ShivadaJadeChunk.png" TargetMode="External"/><Relationship Id="rId770" Type="http://schemas.openxmlformats.org/officeDocument/2006/relationships/image" Target="../media/image383.png"/><Relationship Id="rId216" Type="http://schemas.openxmlformats.org/officeDocument/2006/relationships/image" Target="../media/image108.png"/><Relationship Id="rId423" Type="http://schemas.openxmlformats.org/officeDocument/2006/relationships/hyperlink" Target="https://raw.githubusercontent.com/ItsCryp7iC/Genshin-Image-Hosting/main/LocalSpecialties/Violetgrass.png" TargetMode="External"/><Relationship Id="rId868" Type="http://schemas.openxmlformats.org/officeDocument/2006/relationships/image" Target="../media/image432.png"/><Relationship Id="rId1053" Type="http://schemas.openxmlformats.org/officeDocument/2006/relationships/hyperlink" Target="https://raw.githubusercontent.com/ItsCryp7iC/Genshin-Image-Hosting/main/Weapons/SummitShaper.png" TargetMode="External"/><Relationship Id="rId630" Type="http://schemas.openxmlformats.org/officeDocument/2006/relationships/image" Target="../media/image313.png"/><Relationship Id="rId728" Type="http://schemas.openxmlformats.org/officeDocument/2006/relationships/image" Target="../media/image362.png"/><Relationship Id="rId935" Type="http://schemas.openxmlformats.org/officeDocument/2006/relationships/hyperlink" Target="https://raw.githubusercontent.com/ItsCryp7iC/Genshin-Image-Hosting/main/Weapons/Messenger.png" TargetMode="External"/><Relationship Id="rId64" Type="http://schemas.openxmlformats.org/officeDocument/2006/relationships/image" Target="../media/image32.png"/><Relationship Id="rId367" Type="http://schemas.openxmlformats.org/officeDocument/2006/relationships/hyperlink" Target="https://raw.githubusercontent.com/ItsCryp7iC/Genshin-Image-Hosting/main/WorldBoss/EvergloomRing.png" TargetMode="External"/><Relationship Id="rId574" Type="http://schemas.openxmlformats.org/officeDocument/2006/relationships/image" Target="../media/image285.png"/><Relationship Id="rId1120" Type="http://schemas.openxmlformats.org/officeDocument/2006/relationships/image" Target="../media/image558.png"/><Relationship Id="rId227" Type="http://schemas.openxmlformats.org/officeDocument/2006/relationships/hyperlink" Target="https://raw.githubusercontent.com/ItsCryp7iC/Genshin-Image-Hosting/main/LocalSpecialties/DandelionSeed.png" TargetMode="External"/><Relationship Id="rId781" Type="http://schemas.openxmlformats.org/officeDocument/2006/relationships/hyperlink" Target="https://raw.githubusercontent.com/ItsCryp7iC/Genshin-Image-Hosting/main/Weapons/FinaleoftheDeep.png" TargetMode="External"/><Relationship Id="rId879" Type="http://schemas.openxmlformats.org/officeDocument/2006/relationships/hyperlink" Target="https://raw.githubusercontent.com/ItsCryp7iC/Genshin-Image-Hosting/main/Weapons/KeyofKhajNisut.png" TargetMode="External"/><Relationship Id="rId434" Type="http://schemas.openxmlformats.org/officeDocument/2006/relationships/image" Target="../media/image217.png"/><Relationship Id="rId641" Type="http://schemas.openxmlformats.org/officeDocument/2006/relationships/hyperlink" Target="https://raw.githubusercontent.com/ItsCryp7iC/Genshin-Image-Hosting/main/Characters/KujouSara.png" TargetMode="External"/><Relationship Id="rId739" Type="http://schemas.openxmlformats.org/officeDocument/2006/relationships/hyperlink" Target="https://raw.githubusercontent.com/ItsCryp7iC/Genshin-Image-Hosting/main/Characters/Dehya.png" TargetMode="External"/><Relationship Id="rId1064" Type="http://schemas.openxmlformats.org/officeDocument/2006/relationships/image" Target="../media/image530.png"/><Relationship Id="rId280" Type="http://schemas.openxmlformats.org/officeDocument/2006/relationships/image" Target="../media/image140.png"/><Relationship Id="rId501" Type="http://schemas.openxmlformats.org/officeDocument/2006/relationships/hyperlink" Target="https://raw.githubusercontent.com/ItsCryp7iC/Genshin-Image-Hosting/main/WorldBoss/QuelledCreeper.png" TargetMode="External"/><Relationship Id="rId946" Type="http://schemas.openxmlformats.org/officeDocument/2006/relationships/image" Target="../media/image471.png"/><Relationship Id="rId75" Type="http://schemas.openxmlformats.org/officeDocument/2006/relationships/hyperlink" Target="https://raw.githubusercontent.com/ItsCryp7iC/Genshin-Image-Hosting/main/LocalSpecialties/Valberry.png" TargetMode="External"/><Relationship Id="rId140" Type="http://schemas.openxmlformats.org/officeDocument/2006/relationships/image" Target="../media/image70.png"/><Relationship Id="rId378" Type="http://schemas.openxmlformats.org/officeDocument/2006/relationships/image" Target="../media/image189.png"/><Relationship Id="rId585" Type="http://schemas.openxmlformats.org/officeDocument/2006/relationships/hyperlink" Target="https://raw.githubusercontent.com/ItsCryp7iC/Genshin-Image-Hosting/main/WeeklyBoss/FadingCandle.png" TargetMode="External"/><Relationship Id="rId792" Type="http://schemas.openxmlformats.org/officeDocument/2006/relationships/image" Target="../media/image394.png"/><Relationship Id="rId806" Type="http://schemas.openxmlformats.org/officeDocument/2006/relationships/image" Target="../media/image4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raw.githubusercontent.com/ItsCryp7iC/Genshin-Image-Hosting/main/Characters/Nilou.png" TargetMode="External"/><Relationship Id="rId652" Type="http://schemas.openxmlformats.org/officeDocument/2006/relationships/image" Target="../media/image324.png"/><Relationship Id="rId1075" Type="http://schemas.openxmlformats.org/officeDocument/2006/relationships/hyperlink" Target="https://raw.githubusercontent.com/ItsCryp7iC/Genshin-Image-Hosting/main/Weapons/TheStringless.png" TargetMode="External"/><Relationship Id="rId291" Type="http://schemas.openxmlformats.org/officeDocument/2006/relationships/hyperlink" Target="https://raw.githubusercontent.com/ItsCryp7iC/Genshin-Image-Hosting/main/LocalSpecialties/JueyunChili.png" TargetMode="External"/><Relationship Id="rId305" Type="http://schemas.openxmlformats.org/officeDocument/2006/relationships/hyperlink" Target="https://raw.githubusercontent.com/ItsCryp7iC/Genshin-Image-Hosting/main/LocalSpecialties/SakuraBloom.png" TargetMode="External"/><Relationship Id="rId512" Type="http://schemas.openxmlformats.org/officeDocument/2006/relationships/image" Target="../media/image255.png"/><Relationship Id="rId957" Type="http://schemas.openxmlformats.org/officeDocument/2006/relationships/hyperlink" Target="https://raw.githubusercontent.com/ItsCryp7iC/Genshin-Image-Hosting/main/Weapons/OtherworldlyStory.png" TargetMode="External"/><Relationship Id="rId86" Type="http://schemas.openxmlformats.org/officeDocument/2006/relationships/image" Target="../media/image43.png"/><Relationship Id="rId151" Type="http://schemas.openxmlformats.org/officeDocument/2006/relationships/hyperlink" Target="https://raw.githubusercontent.com/ItsCryp7iC/Genshin-Image-Hosting/main/Billets/bow.png" TargetMode="External"/><Relationship Id="rId389" Type="http://schemas.openxmlformats.org/officeDocument/2006/relationships/hyperlink" Target="https://raw.githubusercontent.com/ItsCryp7iC/Genshin-Image-Hosting/main/Characters/KukiShinobu.png" TargetMode="External"/><Relationship Id="rId596" Type="http://schemas.openxmlformats.org/officeDocument/2006/relationships/image" Target="../media/image296.png"/><Relationship Id="rId817" Type="http://schemas.openxmlformats.org/officeDocument/2006/relationships/hyperlink" Target="https://raw.githubusercontent.com/ItsCryp7iC/Genshin-Image-Hosting/main/Weapons/FruitofFulfillment.png" TargetMode="External"/><Relationship Id="rId1002" Type="http://schemas.openxmlformats.org/officeDocument/2006/relationships/image" Target="../media/image499.png"/><Relationship Id="rId249" Type="http://schemas.openxmlformats.org/officeDocument/2006/relationships/hyperlink" Target="https://raw.githubusercontent.com/ItsCryp7iC/Genshin-Image-Hosting/main/Characters/KaedeharaKazuha.png" TargetMode="External"/><Relationship Id="rId456" Type="http://schemas.openxmlformats.org/officeDocument/2006/relationships/image" Target="../media/image228.png"/><Relationship Id="rId663" Type="http://schemas.openxmlformats.org/officeDocument/2006/relationships/hyperlink" Target="https://raw.githubusercontent.com/ItsCryp7iC/Genshin-Image-Hosting/main/Characters/Sethos.png" TargetMode="External"/><Relationship Id="rId870" Type="http://schemas.openxmlformats.org/officeDocument/2006/relationships/image" Target="../media/image433.png"/><Relationship Id="rId1086" Type="http://schemas.openxmlformats.org/officeDocument/2006/relationships/image" Target="../media/image541.png"/><Relationship Id="rId13" Type="http://schemas.openxmlformats.org/officeDocument/2006/relationships/hyperlink" Target="https://raw.githubusercontent.com/ItsCryp7iC/Genshin-Image-Hosting/main/TalentBooks/PhilosophiesofBallad.png" TargetMode="External"/><Relationship Id="rId109" Type="http://schemas.openxmlformats.org/officeDocument/2006/relationships/hyperlink" Target="https://raw.githubusercontent.com/ItsCryp7iC/Genshin-Image-Hosting/main/MonsterDrops/1Star/DiviningScroll.png" TargetMode="External"/><Relationship Id="rId316" Type="http://schemas.openxmlformats.org/officeDocument/2006/relationships/image" Target="../media/image158.png"/><Relationship Id="rId523" Type="http://schemas.openxmlformats.org/officeDocument/2006/relationships/hyperlink" Target="https://raw.githubusercontent.com/ItsCryp7iC/Genshin-Image-Hosting/main/WeeklyBoss/PrimordialGreenbloom.png" TargetMode="External"/><Relationship Id="rId968" Type="http://schemas.openxmlformats.org/officeDocument/2006/relationships/image" Target="../media/image482.png"/><Relationship Id="rId97" Type="http://schemas.openxmlformats.org/officeDocument/2006/relationships/hyperlink" Target="https://raw.githubusercontent.com/ItsCryp7iC/Genshin-Image-Hosting/main/MonsterDrops/3Star/GoldenRavenInsignia.png" TargetMode="External"/><Relationship Id="rId730" Type="http://schemas.openxmlformats.org/officeDocument/2006/relationships/image" Target="../media/image363.png"/><Relationship Id="rId828" Type="http://schemas.openxmlformats.org/officeDocument/2006/relationships/image" Target="../media/image412.png"/><Relationship Id="rId1013" Type="http://schemas.openxmlformats.org/officeDocument/2006/relationships/hyperlink" Target="https://raw.githubusercontent.com/ItsCryp7iC/Genshin-Image-Hosting/main/Weapons/SacrificialSword.png" TargetMode="External"/><Relationship Id="rId162" Type="http://schemas.openxmlformats.org/officeDocument/2006/relationships/image" Target="../media/image81.png"/><Relationship Id="rId467" Type="http://schemas.openxmlformats.org/officeDocument/2006/relationships/hyperlink" Target="https://raw.githubusercontent.com/ItsCryp7iC/Genshin-Image-Hosting/main/TalentBooks/TeachingsofGold.png" TargetMode="External"/><Relationship Id="rId1097" Type="http://schemas.openxmlformats.org/officeDocument/2006/relationships/hyperlink" Target="https://raw.githubusercontent.com/ItsCryp7iC/Genshin-Image-Hosting/main/Weapons/TwinNephrite.png" TargetMode="External"/><Relationship Id="rId674" Type="http://schemas.openxmlformats.org/officeDocument/2006/relationships/image" Target="../media/image335.png"/><Relationship Id="rId881" Type="http://schemas.openxmlformats.org/officeDocument/2006/relationships/hyperlink" Target="https://raw.githubusercontent.com/ItsCryp7iC/Genshin-Image-Hosting/main/Characters/Wriothesley.png" TargetMode="External"/><Relationship Id="rId979" Type="http://schemas.openxmlformats.org/officeDocument/2006/relationships/hyperlink" Target="https://raw.githubusercontent.com/ItsCryp7iC/Genshin-Image-Hosting/main/Weapons/PrototypeStarglitter.png" TargetMode="External"/><Relationship Id="rId24" Type="http://schemas.openxmlformats.org/officeDocument/2006/relationships/image" Target="../media/image12.png"/><Relationship Id="rId327" Type="http://schemas.openxmlformats.org/officeDocument/2006/relationships/hyperlink" Target="https://raw.githubusercontent.com/ItsCryp7iC/Genshin-Image-Hosting/main/WorldBoss/DewofRepudiation.png" TargetMode="External"/><Relationship Id="rId534" Type="http://schemas.openxmlformats.org/officeDocument/2006/relationships/image" Target="../media/image265.png"/><Relationship Id="rId741" Type="http://schemas.openxmlformats.org/officeDocument/2006/relationships/hyperlink" Target="https://raw.githubusercontent.com/ItsCryp7iC/Genshin-Image-Hosting/main/TalentBooks/GuidetoOrder.png" TargetMode="External"/><Relationship Id="rId839" Type="http://schemas.openxmlformats.org/officeDocument/2006/relationships/hyperlink" Target="https://raw.githubusercontent.com/ItsCryp7iC/Genshin-Image-Hosting/main/Characters/Klee.png" TargetMode="External"/><Relationship Id="rId173" Type="http://schemas.openxmlformats.org/officeDocument/2006/relationships/hyperlink" Target="https://raw.githubusercontent.com/ItsCryp7iC/Genshin-Image-Hosting/main/WeeklyBoss/RingofBoreas.png" TargetMode="External"/><Relationship Id="rId380" Type="http://schemas.openxmlformats.org/officeDocument/2006/relationships/image" Target="../media/image190.png"/><Relationship Id="rId601" Type="http://schemas.openxmlformats.org/officeDocument/2006/relationships/hyperlink" Target="https://raw.githubusercontent.com/ItsCryp7iC/Genshin-Image-Hosting/main/Weapons/Deathmatch.png" TargetMode="External"/><Relationship Id="rId1024" Type="http://schemas.openxmlformats.org/officeDocument/2006/relationships/image" Target="../media/image510.png"/><Relationship Id="rId240" Type="http://schemas.openxmlformats.org/officeDocument/2006/relationships/image" Target="../media/image120.png"/><Relationship Id="rId478" Type="http://schemas.openxmlformats.org/officeDocument/2006/relationships/image" Target="../media/image239.png"/><Relationship Id="rId685" Type="http://schemas.openxmlformats.org/officeDocument/2006/relationships/hyperlink" Target="https://raw.githubusercontent.com/ItsCryp7iC/Genshin-Image-Hosting/main/LocalSpecialties/RomaritimeFlower.png" TargetMode="External"/><Relationship Id="rId892" Type="http://schemas.openxmlformats.org/officeDocument/2006/relationships/image" Target="../media/image444.png"/><Relationship Id="rId906" Type="http://schemas.openxmlformats.org/officeDocument/2006/relationships/image" Target="../media/image451.png"/><Relationship Id="rId35" Type="http://schemas.openxmlformats.org/officeDocument/2006/relationships/hyperlink" Target="https://raw.githubusercontent.com/ItsCryp7iC/Genshin-Image-Hosting/main/Gems/BrilliantDiamondGemstone.png" TargetMode="External"/><Relationship Id="rId100" Type="http://schemas.openxmlformats.org/officeDocument/2006/relationships/image" Target="../media/image50.png"/><Relationship Id="rId338" Type="http://schemas.openxmlformats.org/officeDocument/2006/relationships/image" Target="../media/image169.png"/><Relationship Id="rId545" Type="http://schemas.openxmlformats.org/officeDocument/2006/relationships/hyperlink" Target="https://raw.githubusercontent.com/ItsCryp7iC/Genshin-Image-Hosting/main/Characters/Aloy.png" TargetMode="External"/><Relationship Id="rId752" Type="http://schemas.openxmlformats.org/officeDocument/2006/relationships/image" Target="../media/image374.png"/><Relationship Id="rId184" Type="http://schemas.openxmlformats.org/officeDocument/2006/relationships/image" Target="../media/image92.png"/><Relationship Id="rId391" Type="http://schemas.openxmlformats.org/officeDocument/2006/relationships/hyperlink" Target="https://raw.githubusercontent.com/ItsCryp7iC/Genshin-Image-Hosting/main/WorldBoss/RunicFang.png" TargetMode="External"/><Relationship Id="rId405" Type="http://schemas.openxmlformats.org/officeDocument/2006/relationships/hyperlink" Target="https://raw.githubusercontent.com/ItsCryp7iC/Genshin-Image-Hosting/main/Gems/NagadusEmeraldChunk.png" TargetMode="External"/><Relationship Id="rId612" Type="http://schemas.openxmlformats.org/officeDocument/2006/relationships/image" Target="../media/image304.png"/><Relationship Id="rId1035" Type="http://schemas.openxmlformats.org/officeDocument/2006/relationships/hyperlink" Target="https://raw.githubusercontent.com/ItsCryp7iC/Genshin-Image-Hosting/main/Weapons/SkywardSpine.png" TargetMode="External"/><Relationship Id="rId251" Type="http://schemas.openxmlformats.org/officeDocument/2006/relationships/hyperlink" Target="https://raw.githubusercontent.com/ItsCryp7iC/Genshin-Image-Hosting/main/WorldBoss/MarionetteCore.png" TargetMode="External"/><Relationship Id="rId489" Type="http://schemas.openxmlformats.org/officeDocument/2006/relationships/image" Target="../media/image244.png"/><Relationship Id="rId696" Type="http://schemas.openxmlformats.org/officeDocument/2006/relationships/image" Target="../media/image346.png"/><Relationship Id="rId917" Type="http://schemas.openxmlformats.org/officeDocument/2006/relationships/hyperlink" Target="https://raw.githubusercontent.com/ItsCryp7iC/Genshin-Image-Hosting/main/Characters/RaidenShogun.png" TargetMode="External"/><Relationship Id="rId1102" Type="http://schemas.openxmlformats.org/officeDocument/2006/relationships/image" Target="../media/image549.png"/><Relationship Id="rId46" Type="http://schemas.openxmlformats.org/officeDocument/2006/relationships/image" Target="../media/image23.png"/><Relationship Id="rId349" Type="http://schemas.openxmlformats.org/officeDocument/2006/relationships/hyperlink" Target="https://raw.githubusercontent.com/ItsCryp7iC/Genshin-Image-Hosting/main/LocalSpecialties/CorLapis.png" TargetMode="External"/><Relationship Id="rId556" Type="http://schemas.openxmlformats.org/officeDocument/2006/relationships/image" Target="../media/image276.png"/><Relationship Id="rId763" Type="http://schemas.openxmlformats.org/officeDocument/2006/relationships/hyperlink" Target="https://raw.githubusercontent.com/ItsCryp7iC/Genshin-Image-Hosting/main/Weapons/FerrousShadow.png" TargetMode="External"/><Relationship Id="rId111" Type="http://schemas.openxmlformats.org/officeDocument/2006/relationships/hyperlink" Target="https://raw.githubusercontent.com/ItsCryp7iC/Genshin-Image-Hosting/main/TalentBooks/TeachingsofFreedom.png" TargetMode="External"/><Relationship Id="rId195" Type="http://schemas.openxmlformats.org/officeDocument/2006/relationships/hyperlink" Target="https://raw.githubusercontent.com/ItsCryp7iC/Genshin-Image-Hosting/main/Characters/Furina.png" TargetMode="External"/><Relationship Id="rId209" Type="http://schemas.openxmlformats.org/officeDocument/2006/relationships/hyperlink" Target="https://raw.githubusercontent.com/ItsCryp7iC/Genshin-Image-Hosting/main/MonsterDrops/2Star/SilverRavenInsignia.png" TargetMode="External"/><Relationship Id="rId416" Type="http://schemas.openxmlformats.org/officeDocument/2006/relationships/image" Target="../media/image208.png"/><Relationship Id="rId970" Type="http://schemas.openxmlformats.org/officeDocument/2006/relationships/image" Target="../media/image483.png"/><Relationship Id="rId1046" Type="http://schemas.openxmlformats.org/officeDocument/2006/relationships/image" Target="../media/image521.png"/><Relationship Id="rId623" Type="http://schemas.openxmlformats.org/officeDocument/2006/relationships/hyperlink" Target="https://raw.githubusercontent.com/ItsCryp7iC/Genshin-Image-Hosting/main/WorldBoss/FragmentofaGoldenMelody.png" TargetMode="External"/><Relationship Id="rId830" Type="http://schemas.openxmlformats.org/officeDocument/2006/relationships/image" Target="../media/image413.png"/><Relationship Id="rId928" Type="http://schemas.openxmlformats.org/officeDocument/2006/relationships/image" Target="../media/image462.png"/><Relationship Id="rId57" Type="http://schemas.openxmlformats.org/officeDocument/2006/relationships/hyperlink" Target="https://raw.githubusercontent.com/ItsCryp7iC/Genshin-Image-Hosting/main/MonsterDrops/3Star/RichRedBrocade.png" TargetMode="External"/><Relationship Id="rId262" Type="http://schemas.openxmlformats.org/officeDocument/2006/relationships/image" Target="../media/image131.png"/><Relationship Id="rId567" Type="http://schemas.openxmlformats.org/officeDocument/2006/relationships/hyperlink" Target="https://raw.githubusercontent.com/ItsCryp7iC/Genshin-Image-Hosting/main/WeaponMaterials/JeweledBranchofaDistantSea.png" TargetMode="External"/><Relationship Id="rId1113" Type="http://schemas.openxmlformats.org/officeDocument/2006/relationships/hyperlink" Target="https://raw.githubusercontent.com/ItsCryp7iC/Genshin-Image-Hosting/main/Weapons/WhiteIronGreatsword.png" TargetMode="External"/><Relationship Id="rId122" Type="http://schemas.openxmlformats.org/officeDocument/2006/relationships/image" Target="../media/image61.png"/><Relationship Id="rId774" Type="http://schemas.openxmlformats.org/officeDocument/2006/relationships/image" Target="../media/image385.png"/><Relationship Id="rId981" Type="http://schemas.openxmlformats.org/officeDocument/2006/relationships/hyperlink" Target="https://raw.githubusercontent.com/ItsCryp7iC/Genshin-Image-Hosting/main/Weapons/Rainslasher.png" TargetMode="External"/><Relationship Id="rId1057" Type="http://schemas.openxmlformats.org/officeDocument/2006/relationships/hyperlink" Target="https://raw.githubusercontent.com/ItsCryp7iC/Genshin-Image-Hosting/main/Weapons/SwordofNarzissenkreuz.png" TargetMode="External"/><Relationship Id="rId427" Type="http://schemas.openxmlformats.org/officeDocument/2006/relationships/hyperlink" Target="https://raw.githubusercontent.com/ItsCryp7iC/Genshin-Image-Hosting/main/Weapons/BlackcliffSlasher.png" TargetMode="External"/><Relationship Id="rId634" Type="http://schemas.openxmlformats.org/officeDocument/2006/relationships/image" Target="../media/image315.png"/><Relationship Id="rId841" Type="http://schemas.openxmlformats.org/officeDocument/2006/relationships/hyperlink" Target="https://raw.githubusercontent.com/ItsCryp7iC/Genshin-Image-Hosting/main/Weapons/HaranGeppakuFutsu.png" TargetMode="External"/><Relationship Id="rId273" Type="http://schemas.openxmlformats.org/officeDocument/2006/relationships/hyperlink" Target="https://raw.githubusercontent.com/ItsCryp7iC/Genshin-Image-Hosting/main/Misc/weapons.png" TargetMode="External"/><Relationship Id="rId480" Type="http://schemas.openxmlformats.org/officeDocument/2006/relationships/image" Target="../media/image240.png"/><Relationship Id="rId701" Type="http://schemas.openxmlformats.org/officeDocument/2006/relationships/hyperlink" Target="https://raw.githubusercontent.com/ItsCryp7iC/Genshin-Image-Hosting/main/TalentBooks/TeachingsofEquity.png" TargetMode="External"/><Relationship Id="rId939" Type="http://schemas.openxmlformats.org/officeDocument/2006/relationships/hyperlink" Target="https://raw.githubusercontent.com/ItsCryp7iC/Genshin-Image-Hosting/main/Weapons/MissiveWindspear.png" TargetMode="External"/><Relationship Id="rId1124" Type="http://schemas.openxmlformats.org/officeDocument/2006/relationships/image" Target="../media/image560.png"/><Relationship Id="rId68" Type="http://schemas.openxmlformats.org/officeDocument/2006/relationships/image" Target="../media/image34.png"/><Relationship Id="rId133" Type="http://schemas.openxmlformats.org/officeDocument/2006/relationships/hyperlink" Target="https://raw.githubusercontent.com/ItsCryp7iC/Genshin-Image-Hosting/main/TalentBooks/PhilosophiesofLight.png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7.png"/><Relationship Id="rId785" Type="http://schemas.openxmlformats.org/officeDocument/2006/relationships/hyperlink" Target="https://raw.githubusercontent.com/ItsCryp7iC/Genshin-Image-Hosting/main/Characters/Navia.png" TargetMode="External"/><Relationship Id="rId992" Type="http://schemas.openxmlformats.org/officeDocument/2006/relationships/image" Target="../media/image494.png"/><Relationship Id="rId200" Type="http://schemas.openxmlformats.org/officeDocument/2006/relationships/image" Target="../media/image100.png"/><Relationship Id="rId438" Type="http://schemas.openxmlformats.org/officeDocument/2006/relationships/image" Target="../media/image219.png"/><Relationship Id="rId645" Type="http://schemas.openxmlformats.org/officeDocument/2006/relationships/hyperlink" Target="https://raw.githubusercontent.com/ItsCryp7iC/Genshin-Image-Hosting/main/LocalSpecialties/MourningFlower.png" TargetMode="External"/><Relationship Id="rId852" Type="http://schemas.openxmlformats.org/officeDocument/2006/relationships/image" Target="../media/image424.png"/><Relationship Id="rId1068" Type="http://schemas.openxmlformats.org/officeDocument/2006/relationships/image" Target="../media/image532.png"/><Relationship Id="rId284" Type="http://schemas.openxmlformats.org/officeDocument/2006/relationships/image" Target="../media/image142.png"/><Relationship Id="rId491" Type="http://schemas.openxmlformats.org/officeDocument/2006/relationships/image" Target="../media/image245.png"/><Relationship Id="rId505" Type="http://schemas.openxmlformats.org/officeDocument/2006/relationships/hyperlink" Target="https://raw.githubusercontent.com/ItsCryp7iC/Genshin-Image-Hosting/main/TalentBooks/TeachingsofTransience.png" TargetMode="External"/><Relationship Id="rId712" Type="http://schemas.openxmlformats.org/officeDocument/2006/relationships/image" Target="../media/image354.png"/><Relationship Id="rId79" Type="http://schemas.openxmlformats.org/officeDocument/2006/relationships/hyperlink" Target="https://raw.githubusercontent.com/ItsCryp7iC/Genshin-Image-Hosting/main/Misc/CrownofInsight.png" TargetMode="External"/><Relationship Id="rId144" Type="http://schemas.openxmlformats.org/officeDocument/2006/relationships/image" Target="../media/image72.png"/><Relationship Id="rId589" Type="http://schemas.openxmlformats.org/officeDocument/2006/relationships/hyperlink" Target="https://raw.githubusercontent.com/ItsCryp7iC/Genshin-Image-Hosting/main/Gems/ShivadaJadeSilver.png" TargetMode="External"/><Relationship Id="rId796" Type="http://schemas.openxmlformats.org/officeDocument/2006/relationships/image" Target="../media/image396.png"/><Relationship Id="rId351" Type="http://schemas.openxmlformats.org/officeDocument/2006/relationships/hyperlink" Target="https://raw.githubusercontent.com/ItsCryp7iC/Genshin-Image-Hosting/main/MonsterDrops/2Star/TransoceanicChunk.png" TargetMode="External"/><Relationship Id="rId449" Type="http://schemas.openxmlformats.org/officeDocument/2006/relationships/hyperlink" Target="https://raw.githubusercontent.com/ItsCryp7iC/Genshin-Image-Hosting/main/LocalSpecialties/Padisarah.png" TargetMode="External"/><Relationship Id="rId656" Type="http://schemas.openxmlformats.org/officeDocument/2006/relationships/image" Target="../media/image326.png"/><Relationship Id="rId863" Type="http://schemas.openxmlformats.org/officeDocument/2006/relationships/hyperlink" Target="https://raw.githubusercontent.com/ItsCryp7iC/Genshin-Image-Hosting/main/Weapons/JadefallsSplendor.png" TargetMode="External"/><Relationship Id="rId1079" Type="http://schemas.openxmlformats.org/officeDocument/2006/relationships/hyperlink" Target="https://raw.githubusercontent.com/ItsCryp7iC/Genshin-Image-Hosting/main/Weapons/TheViridescentHunt.png" TargetMode="External"/><Relationship Id="rId211" Type="http://schemas.openxmlformats.org/officeDocument/2006/relationships/hyperlink" Target="https://raw.githubusercontent.com/ItsCryp7iC/Genshin-Image-Hosting/main/MonsterDrops/1Star/TreasureHoarderInsignia.png" TargetMode="External"/><Relationship Id="rId295" Type="http://schemas.openxmlformats.org/officeDocument/2006/relationships/hyperlink" Target="https://raw.githubusercontent.com/ItsCryp7iC/Genshin-Image-Hosting/main/WeaponMaterials/FettersoftheDandelionGladiator.png" TargetMode="External"/><Relationship Id="rId309" Type="http://schemas.openxmlformats.org/officeDocument/2006/relationships/hyperlink" Target="https://raw.githubusercontent.com/ItsCryp7iC/Genshin-Image-Hosting/main/MonsterDrops/3Star/CrystallineCystDust.png" TargetMode="External"/><Relationship Id="rId516" Type="http://schemas.openxmlformats.org/officeDocument/2006/relationships/hyperlink" Target="https://raw.githubusercontent.com/ItsCryp7iC/Genshin-Image-Hosting/main/Gems/VayudaTurquoiseChunk.png" TargetMode="External"/><Relationship Id="rId723" Type="http://schemas.openxmlformats.org/officeDocument/2006/relationships/hyperlink" Target="https://raw.githubusercontent.com/ItsCryp7iC/Genshin-Image-Hosting/main/TalentBooks/TeachingsofJustice.png" TargetMode="External"/><Relationship Id="rId930" Type="http://schemas.openxmlformats.org/officeDocument/2006/relationships/image" Target="../media/image463.png"/><Relationship Id="rId1006" Type="http://schemas.openxmlformats.org/officeDocument/2006/relationships/image" Target="../media/image501.png"/><Relationship Id="rId155" Type="http://schemas.openxmlformats.org/officeDocument/2006/relationships/hyperlink" Target="https://raw.githubusercontent.com/ItsCryp7iC/Genshin-Image-Hosting/main/WeaponMaterials/ScatteredPieceofDecarabiansDream.png" TargetMode="External"/><Relationship Id="rId362" Type="http://schemas.openxmlformats.org/officeDocument/2006/relationships/image" Target="../media/image181.png"/><Relationship Id="rId222" Type="http://schemas.openxmlformats.org/officeDocument/2006/relationships/image" Target="../media/image111.png"/><Relationship Id="rId667" Type="http://schemas.openxmlformats.org/officeDocument/2006/relationships/hyperlink" Target="https://raw.githubusercontent.com/ItsCryp7iC/Genshin-Image-Hosting/main/LocalSpecialties/Scarab.png" TargetMode="External"/><Relationship Id="rId874" Type="http://schemas.openxmlformats.org/officeDocument/2006/relationships/image" Target="../media/image435.png"/><Relationship Id="rId17" Type="http://schemas.openxmlformats.org/officeDocument/2006/relationships/hyperlink" Target="https://raw.githubusercontent.com/ItsCryp7iC/Genshin-Image-Hosting/main/LocalSpecialties/Cecilia.png" TargetMode="External"/><Relationship Id="rId527" Type="http://schemas.openxmlformats.org/officeDocument/2006/relationships/hyperlink" Target="https://raw.githubusercontent.com/ItsCryp7iC/Genshin-Image-Hosting/main/Gems/VayudaTurquoiseFragment.png" TargetMode="External"/><Relationship Id="rId734" Type="http://schemas.openxmlformats.org/officeDocument/2006/relationships/image" Target="../media/image365.png"/><Relationship Id="rId941" Type="http://schemas.openxmlformats.org/officeDocument/2006/relationships/hyperlink" Target="https://raw.githubusercontent.com/ItsCryp7iC/Genshin-Image-Hosting/main/Characters/Yaoyao.png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73" Type="http://schemas.openxmlformats.org/officeDocument/2006/relationships/hyperlink" Target="https://raw.githubusercontent.com/ItsCryp7iC/Genshin-Image-Hosting/main/WorldBoss/StormBeads.png" TargetMode="External"/><Relationship Id="rId580" Type="http://schemas.openxmlformats.org/officeDocument/2006/relationships/image" Target="../media/image288.png"/><Relationship Id="rId801" Type="http://schemas.openxmlformats.org/officeDocument/2006/relationships/hyperlink" Target="https://raw.githubusercontent.com/ItsCryp7iC/Genshin-Image-Hosting/main/WeaponMaterials/DrossofPureSacredDewdrop.png" TargetMode="External"/><Relationship Id="rId1017" Type="http://schemas.openxmlformats.org/officeDocument/2006/relationships/hyperlink" Target="https://raw.githubusercontent.com/ItsCryp7iC/Genshin-Image-Hosting/main/Weapons/ScionoftheBlazingSun.png" TargetMode="External"/><Relationship Id="rId1" Type="http://schemas.openxmlformats.org/officeDocument/2006/relationships/hyperlink" Target="https://raw.githubusercontent.com/ItsCryp7iC/Genshin-Image-Hosting/main/Experience/HerosWit.png" TargetMode="External"/><Relationship Id="rId233" Type="http://schemas.openxmlformats.org/officeDocument/2006/relationships/hyperlink" Target="https://raw.githubusercontent.com/ItsCryp7iC/Genshin-Image-Hosting/main/MonsterDrops/2Star/ShimmeringNectar.png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7.png"/><Relationship Id="rId885" Type="http://schemas.openxmlformats.org/officeDocument/2006/relationships/hyperlink" Target="https://raw.githubusercontent.com/ItsCryp7iC/Genshin-Image-Hosting/main/Characters/Xianyun.png" TargetMode="External"/><Relationship Id="rId1070" Type="http://schemas.openxmlformats.org/officeDocument/2006/relationships/image" Target="../media/image533.png"/><Relationship Id="rId28" Type="http://schemas.openxmlformats.org/officeDocument/2006/relationships/image" Target="../media/image14.png"/><Relationship Id="rId300" Type="http://schemas.openxmlformats.org/officeDocument/2006/relationships/image" Target="../media/image150.png"/><Relationship Id="rId538" Type="http://schemas.openxmlformats.org/officeDocument/2006/relationships/image" Target="../media/image267.png"/><Relationship Id="rId745" Type="http://schemas.openxmlformats.org/officeDocument/2006/relationships/hyperlink" Target="https://raw.githubusercontent.com/ItsCryp7iC/Genshin-Image-Hosting/main/WeaponMaterials/OasisGardensTruth.png" TargetMode="External"/><Relationship Id="rId952" Type="http://schemas.openxmlformats.org/officeDocument/2006/relationships/image" Target="../media/image474.png"/><Relationship Id="rId81" Type="http://schemas.openxmlformats.org/officeDocument/2006/relationships/hyperlink" Target="https://raw.githubusercontent.com/ItsCryp7iC/Genshin-Image-Hosting/main/Billets/claymore.png" TargetMode="External"/><Relationship Id="rId177" Type="http://schemas.openxmlformats.org/officeDocument/2006/relationships/hyperlink" Target="https://raw.githubusercontent.com/ItsCryp7iC/Genshin-Image-Hosting/main/MonsterDrops/2Star/SergeantsInsignia.png" TargetMode="External"/><Relationship Id="rId384" Type="http://schemas.openxmlformats.org/officeDocument/2006/relationships/image" Target="../media/image192.png"/><Relationship Id="rId591" Type="http://schemas.openxmlformats.org/officeDocument/2006/relationships/hyperlink" Target="https://raw.githubusercontent.com/ItsCryp7iC/Genshin-Image-Hosting/main/Weapons/DarkIronSword.png" TargetMode="External"/><Relationship Id="rId605" Type="http://schemas.openxmlformats.org/officeDocument/2006/relationships/hyperlink" Target="https://raw.githubusercontent.com/ItsCryp7iC/Genshin-Image-Hosting/main/Characters/Fischl.png" TargetMode="External"/><Relationship Id="rId812" Type="http://schemas.openxmlformats.org/officeDocument/2006/relationships/image" Target="../media/image404.png"/><Relationship Id="rId1028" Type="http://schemas.openxmlformats.org/officeDocument/2006/relationships/image" Target="../media/image512.png"/><Relationship Id="rId244" Type="http://schemas.openxmlformats.org/officeDocument/2006/relationships/image" Target="../media/image122.png"/><Relationship Id="rId689" Type="http://schemas.openxmlformats.org/officeDocument/2006/relationships/hyperlink" Target="https://raw.githubusercontent.com/ItsCryp7iC/Genshin-Image-Hosting/main/WeaponMaterials/CopperTalismanoftheForestDew.png" TargetMode="External"/><Relationship Id="rId896" Type="http://schemas.openxmlformats.org/officeDocument/2006/relationships/image" Target="../media/image446.png"/><Relationship Id="rId1081" Type="http://schemas.openxmlformats.org/officeDocument/2006/relationships/hyperlink" Target="https://raw.githubusercontent.com/ItsCryp7iC/Genshin-Image-Hosting/main/Weapons/TheWidsith.png" TargetMode="External"/><Relationship Id="rId39" Type="http://schemas.openxmlformats.org/officeDocument/2006/relationships/hyperlink" Target="https://raw.githubusercontent.com/ItsCryp7iC/Genshin-Image-Hosting/main/Elements/anemo.png" TargetMode="External"/><Relationship Id="rId451" Type="http://schemas.openxmlformats.org/officeDocument/2006/relationships/hyperlink" Target="https://raw.githubusercontent.com/ItsCryp7iC/Genshin-Image-Hosting/main/WorldBoss/MajesticHookedBeak.png" TargetMode="External"/><Relationship Id="rId549" Type="http://schemas.openxmlformats.org/officeDocument/2006/relationships/hyperlink" Target="https://raw.githubusercontent.com/ItsCryp7iC/Genshin-Image-Hosting/main/Weapons/CranesEchoingCall.png" TargetMode="External"/><Relationship Id="rId756" Type="http://schemas.openxmlformats.org/officeDocument/2006/relationships/image" Target="../media/image376.png"/><Relationship Id="rId104" Type="http://schemas.openxmlformats.org/officeDocument/2006/relationships/image" Target="../media/image52.png"/><Relationship Id="rId188" Type="http://schemas.openxmlformats.org/officeDocument/2006/relationships/image" Target="../media/image94.png"/><Relationship Id="rId311" Type="http://schemas.openxmlformats.org/officeDocument/2006/relationships/hyperlink" Target="https://raw.githubusercontent.com/ItsCryp7iC/Genshin-Image-Hosting/main/MonsterDrops/2Star/LuminescentPollen.png" TargetMode="External"/><Relationship Id="rId395" Type="http://schemas.openxmlformats.org/officeDocument/2006/relationships/hyperlink" Target="https://raw.githubusercontent.com/ItsCryp7iC/Genshin-Image-Hosting/main/LocalSpecialties/NakuWeed.png" TargetMode="External"/><Relationship Id="rId409" Type="http://schemas.openxmlformats.org/officeDocument/2006/relationships/hyperlink" Target="https://raw.githubusercontent.com/ItsCryp7iC/Genshin-Image-Hosting/main/WeaponMaterials/LustrousStonefromGuyun.png" TargetMode="External"/><Relationship Id="rId963" Type="http://schemas.openxmlformats.org/officeDocument/2006/relationships/hyperlink" Target="https://raw.githubusercontent.com/ItsCryp7iC/Genshin-Image-Hosting/main/Weapons/Predator.png" TargetMode="External"/><Relationship Id="rId1039" Type="http://schemas.openxmlformats.org/officeDocument/2006/relationships/hyperlink" Target="https://raw.githubusercontent.com/ItsCryp7iC/Genshin-Image-Hosting/main/Weapons/SnowTombedStarsilver.png" TargetMode="External"/><Relationship Id="rId92" Type="http://schemas.openxmlformats.org/officeDocument/2006/relationships/image" Target="../media/image46.png"/><Relationship Id="rId616" Type="http://schemas.openxmlformats.org/officeDocument/2006/relationships/image" Target="../media/image306.png"/><Relationship Id="rId823" Type="http://schemas.openxmlformats.org/officeDocument/2006/relationships/hyperlink" Target="https://raw.githubusercontent.com/ItsCryp7iC/Genshin-Image-Hosting/main/Weapons/HakushinRing.png" TargetMode="External"/><Relationship Id="rId255" Type="http://schemas.openxmlformats.org/officeDocument/2006/relationships/hyperlink" Target="https://raw.githubusercontent.com/ItsCryp7iC/Genshin-Image-Hosting/main/TalentBooks/PhilosophiesofDiligence.png" TargetMode="External"/><Relationship Id="rId462" Type="http://schemas.openxmlformats.org/officeDocument/2006/relationships/image" Target="../media/image231.png"/><Relationship Id="rId1092" Type="http://schemas.openxmlformats.org/officeDocument/2006/relationships/image" Target="../media/image544.png"/><Relationship Id="rId1106" Type="http://schemas.openxmlformats.org/officeDocument/2006/relationships/image" Target="../media/image551.png"/><Relationship Id="rId115" Type="http://schemas.openxmlformats.org/officeDocument/2006/relationships/hyperlink" Target="https://raw.githubusercontent.com/ItsCryp7iC/Genshin-Image-Hosting/main/Misc/DreamSolvent.png" TargetMode="External"/><Relationship Id="rId322" Type="http://schemas.openxmlformats.org/officeDocument/2006/relationships/image" Target="../media/image161.png"/><Relationship Id="rId767" Type="http://schemas.openxmlformats.org/officeDocument/2006/relationships/hyperlink" Target="https://raw.githubusercontent.com/ItsCryp7iC/Genshin-Image-Hosting/main/Characters/Freminet.png" TargetMode="External"/><Relationship Id="rId974" Type="http://schemas.openxmlformats.org/officeDocument/2006/relationships/image" Target="../media/image485.png"/><Relationship Id="rId199" Type="http://schemas.openxmlformats.org/officeDocument/2006/relationships/hyperlink" Target="https://raw.githubusercontent.com/ItsCryp7iC/Genshin-Image-Hosting/main/WeeklyBoss/LightlessMass.png" TargetMode="External"/><Relationship Id="rId627" Type="http://schemas.openxmlformats.org/officeDocument/2006/relationships/hyperlink" Target="https://raw.githubusercontent.com/ItsCryp7iC/Genshin-Image-Hosting/main/Weapons/DialoguesoftheDesertSages.png" TargetMode="External"/><Relationship Id="rId834" Type="http://schemas.openxmlformats.org/officeDocument/2006/relationships/image" Target="../media/image415.png"/><Relationship Id="rId266" Type="http://schemas.openxmlformats.org/officeDocument/2006/relationships/image" Target="../media/image133.png"/><Relationship Id="rId473" Type="http://schemas.openxmlformats.org/officeDocument/2006/relationships/hyperlink" Target="https://raw.githubusercontent.com/ItsCryp7iC/Genshin-Image-Hosting/main/Weapons/BloodtaintedGreatsword.png" TargetMode="External"/><Relationship Id="rId680" Type="http://schemas.openxmlformats.org/officeDocument/2006/relationships/image" Target="../media/image338.png"/><Relationship Id="rId901" Type="http://schemas.openxmlformats.org/officeDocument/2006/relationships/hyperlink" Target="https://raw.githubusercontent.com/ItsCryp7iC/Genshin-Image-Hosting/main/Characters/Chevreuse.png" TargetMode="External"/><Relationship Id="rId1117" Type="http://schemas.openxmlformats.org/officeDocument/2006/relationships/hyperlink" Target="https://raw.githubusercontent.com/ItsCryp7iC/Genshin-Image-Hosting/main/Weapons/WindblumeOde.png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333" Type="http://schemas.openxmlformats.org/officeDocument/2006/relationships/hyperlink" Target="https://raw.githubusercontent.com/ItsCryp7iC/Genshin-Image-Hosting/main/MonsterDrops/2Star/TrimmedRedSilk.png" TargetMode="External"/><Relationship Id="rId540" Type="http://schemas.openxmlformats.org/officeDocument/2006/relationships/image" Target="../media/image268.png"/><Relationship Id="rId778" Type="http://schemas.openxmlformats.org/officeDocument/2006/relationships/image" Target="../media/image387.png"/><Relationship Id="rId985" Type="http://schemas.openxmlformats.org/officeDocument/2006/relationships/hyperlink" Target="https://raw.githubusercontent.com/ItsCryp7iC/Genshin-Image-Hosting/main/Weapons/RavenBow.png" TargetMode="External"/><Relationship Id="rId638" Type="http://schemas.openxmlformats.org/officeDocument/2006/relationships/image" Target="../media/image317.png"/><Relationship Id="rId845" Type="http://schemas.openxmlformats.org/officeDocument/2006/relationships/hyperlink" Target="https://raw.githubusercontent.com/ItsCryp7iC/Genshin-Image-Hosting/main/Characters/Lisa.png" TargetMode="External"/><Relationship Id="rId1030" Type="http://schemas.openxmlformats.org/officeDocument/2006/relationships/image" Target="../media/image513.png"/><Relationship Id="rId277" Type="http://schemas.openxmlformats.org/officeDocument/2006/relationships/hyperlink" Target="https://raw.githubusercontent.com/ItsCryp7iC/Genshin-Image-Hosting/main/WeaponMaterials/BorealWolfsNostalgia.png" TargetMode="External"/><Relationship Id="rId400" Type="http://schemas.openxmlformats.org/officeDocument/2006/relationships/image" Target="../media/image200.png"/><Relationship Id="rId484" Type="http://schemas.openxmlformats.org/officeDocument/2006/relationships/image" Target="../media/image242.png"/><Relationship Id="rId705" Type="http://schemas.openxmlformats.org/officeDocument/2006/relationships/hyperlink" Target="https://raw.githubusercontent.com/ItsCryp7iC/Genshin-Image-Hosting/main/WeaponMaterials/SilverTalismanoftheForestDew.png" TargetMode="External"/><Relationship Id="rId137" Type="http://schemas.openxmlformats.org/officeDocument/2006/relationships/hyperlink" Target="https://raw.githubusercontent.com/ItsCryp7iC/Genshin-Image-Hosting/main/LocalSpecialties/HennaBerry.png" TargetMode="External"/><Relationship Id="rId344" Type="http://schemas.openxmlformats.org/officeDocument/2006/relationships/image" Target="../media/image172.png"/><Relationship Id="rId691" Type="http://schemas.openxmlformats.org/officeDocument/2006/relationships/hyperlink" Target="https://raw.githubusercontent.com/ItsCryp7iC/Genshin-Image-Hosting/main/Characters/Venti.png" TargetMode="External"/><Relationship Id="rId789" Type="http://schemas.openxmlformats.org/officeDocument/2006/relationships/hyperlink" Target="https://raw.githubusercontent.com/ItsCryp7iC/Genshin-Image-Hosting/main/WeaponMaterials/MovementofanAncientChord.png" TargetMode="External"/><Relationship Id="rId912" Type="http://schemas.openxmlformats.org/officeDocument/2006/relationships/image" Target="../media/image454.png"/><Relationship Id="rId996" Type="http://schemas.openxmlformats.org/officeDocument/2006/relationships/image" Target="../media/image496.png"/><Relationship Id="rId41" Type="http://schemas.openxmlformats.org/officeDocument/2006/relationships/hyperlink" Target="https://raw.githubusercontent.com/ItsCryp7iC/Genshin-Image-Hosting/main/Weapons/Absolution.png" TargetMode="External"/><Relationship Id="rId551" Type="http://schemas.openxmlformats.org/officeDocument/2006/relationships/hyperlink" Target="https://raw.githubusercontent.com/ItsCryp7iC/Genshin-Image-Hosting/main/WeaponMaterials/CoralBranchofaDistantSea.png" TargetMode="External"/><Relationship Id="rId649" Type="http://schemas.openxmlformats.org/officeDocument/2006/relationships/hyperlink" Target="https://raw.githubusercontent.com/ItsCryp7iC/Genshin-Image-Hosting/main/WeaponMaterials/MaskoftheWickedLieutenant.png" TargetMode="External"/><Relationship Id="rId856" Type="http://schemas.openxmlformats.org/officeDocument/2006/relationships/image" Target="../media/image426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88" Type="http://schemas.openxmlformats.org/officeDocument/2006/relationships/image" Target="../media/image144.png"/><Relationship Id="rId411" Type="http://schemas.openxmlformats.org/officeDocument/2006/relationships/hyperlink" Target="https://raw.githubusercontent.com/ItsCryp7iC/Genshin-Image-Hosting/main/Characters/Layla.png" TargetMode="External"/><Relationship Id="rId509" Type="http://schemas.openxmlformats.org/officeDocument/2006/relationships/hyperlink" Target="https://raw.githubusercontent.com/ItsCryp7iC/Genshin-Image-Hosting/main/Weapons/CinnabarSpindle.png" TargetMode="External"/><Relationship Id="rId1041" Type="http://schemas.openxmlformats.org/officeDocument/2006/relationships/hyperlink" Target="https://raw.githubusercontent.com/ItsCryp7iC/Genshin-Image-Hosting/main/Weapons/SolarPearl.png" TargetMode="External"/><Relationship Id="rId495" Type="http://schemas.openxmlformats.org/officeDocument/2006/relationships/image" Target="../media/image247.png"/><Relationship Id="rId716" Type="http://schemas.openxmlformats.org/officeDocument/2006/relationships/image" Target="../media/image356.png"/><Relationship Id="rId923" Type="http://schemas.openxmlformats.org/officeDocument/2006/relationships/hyperlink" Target="https://raw.githubusercontent.com/ItsCryp7iC/Genshin-Image-Hosting/main/Weapons/MakhairaAquamarine.png" TargetMode="External"/><Relationship Id="rId52" Type="http://schemas.openxmlformats.org/officeDocument/2006/relationships/image" Target="../media/image26.png"/><Relationship Id="rId148" Type="http://schemas.openxmlformats.org/officeDocument/2006/relationships/image" Target="../media/image74.png"/><Relationship Id="rId355" Type="http://schemas.openxmlformats.org/officeDocument/2006/relationships/hyperlink" Target="https://raw.githubusercontent.com/ItsCryp7iC/Genshin-Image-Hosting/main/TalentBooks/TeachingsofProsperity.png" TargetMode="External"/><Relationship Id="rId562" Type="http://schemas.openxmlformats.org/officeDocument/2006/relationships/image" Target="../media/image279.png"/><Relationship Id="rId215" Type="http://schemas.openxmlformats.org/officeDocument/2006/relationships/hyperlink" Target="https://raw.githubusercontent.com/ItsCryp7iC/Genshin-Image-Hosting/main/LocalSpecialties/SmallLampGrass.png" TargetMode="External"/><Relationship Id="rId422" Type="http://schemas.openxmlformats.org/officeDocument/2006/relationships/image" Target="../media/image211.png"/><Relationship Id="rId867" Type="http://schemas.openxmlformats.org/officeDocument/2006/relationships/hyperlink" Target="https://raw.githubusercontent.com/ItsCryp7iC/Genshin-Image-Hosting/main/Weapons/KagotsurubeIsshin.png" TargetMode="External"/><Relationship Id="rId1052" Type="http://schemas.openxmlformats.org/officeDocument/2006/relationships/image" Target="../media/image524.png"/><Relationship Id="rId299" Type="http://schemas.openxmlformats.org/officeDocument/2006/relationships/hyperlink" Target="https://raw.githubusercontent.com/ItsCryp7iC/Genshin-Image-Hosting/main/WorldBoss/PerpetualHeart.png" TargetMode="External"/><Relationship Id="rId727" Type="http://schemas.openxmlformats.org/officeDocument/2006/relationships/hyperlink" Target="https://raw.githubusercontent.com/ItsCryp7iC/Genshin-Image-Hosting/main/Weapons/FavoniusCodex.png" TargetMode="External"/><Relationship Id="rId934" Type="http://schemas.openxmlformats.org/officeDocument/2006/relationships/image" Target="../media/image465.png"/><Relationship Id="rId63" Type="http://schemas.openxmlformats.org/officeDocument/2006/relationships/hyperlink" Target="https://raw.githubusercontent.com/ItsCryp7iC/Genshin-Image-Hosting/main/WorldBoss/LightningPrism.png" TargetMode="External"/><Relationship Id="rId159" Type="http://schemas.openxmlformats.org/officeDocument/2006/relationships/hyperlink" Target="https://raw.githubusercontent.com/ItsCryp7iC/Genshin-Image-Hosting/main/WorldBoss/FontemerUnihorn.png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raw.githubusercontent.com/ItsCryp7iC/Genshin-Image-Hosting/main/WorldBoss/TourbillonDevice.png" TargetMode="External"/><Relationship Id="rId780" Type="http://schemas.openxmlformats.org/officeDocument/2006/relationships/image" Target="../media/image388.png"/><Relationship Id="rId226" Type="http://schemas.openxmlformats.org/officeDocument/2006/relationships/image" Target="../media/image113.png"/><Relationship Id="rId433" Type="http://schemas.openxmlformats.org/officeDocument/2006/relationships/hyperlink" Target="https://raw.githubusercontent.com/ItsCryp7iC/Genshin-Image-Hosting/main/TalentBooks/PhilosophiesofOrder.png" TargetMode="External"/><Relationship Id="rId878" Type="http://schemas.openxmlformats.org/officeDocument/2006/relationships/image" Target="../media/image437.png"/><Relationship Id="rId1063" Type="http://schemas.openxmlformats.org/officeDocument/2006/relationships/hyperlink" Target="https://raw.githubusercontent.com/ItsCryp7iC/Genshin-Image-Hosting/main/Weapons/TheBell.png" TargetMode="External"/><Relationship Id="rId640" Type="http://schemas.openxmlformats.org/officeDocument/2006/relationships/image" Target="../media/image318.png"/><Relationship Id="rId738" Type="http://schemas.openxmlformats.org/officeDocument/2006/relationships/image" Target="../media/image367.png"/><Relationship Id="rId945" Type="http://schemas.openxmlformats.org/officeDocument/2006/relationships/hyperlink" Target="https://raw.githubusercontent.com/ItsCryp7iC/Genshin-Image-Hosting/main/Characters/YunJin.png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raw.githubusercontent.com/ItsCryp7iC/Genshin-Image-Hosting/main/MonsterDrops/3Star/ArtificedDynamicGear.png" TargetMode="External"/><Relationship Id="rId500" Type="http://schemas.openxmlformats.org/officeDocument/2006/relationships/hyperlink" Target="https://raw.githubusercontent.com/ItsCryp7iC/Genshin-Image-Hosting/main/Characters/TravelerElectro.png" TargetMode="External"/><Relationship Id="rId584" Type="http://schemas.openxmlformats.org/officeDocument/2006/relationships/image" Target="../media/image290.png"/><Relationship Id="rId805" Type="http://schemas.openxmlformats.org/officeDocument/2006/relationships/hyperlink" Target="https://raw.githubusercontent.com/ItsCryp7iC/Genshin-Image-Hosting/main/Weapons/FreedomSworn.png" TargetMode="External"/><Relationship Id="rId5" Type="http://schemas.openxmlformats.org/officeDocument/2006/relationships/hyperlink" Target="https://raw.githubusercontent.com/ItsCryp7iC/Genshin-Image-Hosting/main/Billets/sword.png" TargetMode="External"/><Relationship Id="rId237" Type="http://schemas.openxmlformats.org/officeDocument/2006/relationships/hyperlink" Target="https://raw.githubusercontent.com/ItsCryp7iC/Genshin-Image-Hosting/main/LocalSpecialties/CallaLily.png" TargetMode="External"/><Relationship Id="rId791" Type="http://schemas.openxmlformats.org/officeDocument/2006/relationships/hyperlink" Target="https://raw.githubusercontent.com/ItsCryp7iC/Genshin-Image-Hosting/main/Characters/Noelle.png" TargetMode="External"/><Relationship Id="rId889" Type="http://schemas.openxmlformats.org/officeDocument/2006/relationships/hyperlink" Target="https://raw.githubusercontent.com/ItsCryp7iC/Genshin-Image-Hosting/main/Characters/YaeMiko.png" TargetMode="External"/><Relationship Id="rId1074" Type="http://schemas.openxmlformats.org/officeDocument/2006/relationships/image" Target="../media/image535.png"/><Relationship Id="rId444" Type="http://schemas.openxmlformats.org/officeDocument/2006/relationships/image" Target="../media/image222.png"/><Relationship Id="rId651" Type="http://schemas.openxmlformats.org/officeDocument/2006/relationships/hyperlink" Target="https://raw.githubusercontent.com/ItsCryp7iC/Genshin-Image-Hosting/main/Characters/Lyney.png" TargetMode="External"/><Relationship Id="rId749" Type="http://schemas.openxmlformats.org/officeDocument/2006/relationships/hyperlink" Target="https://raw.githubusercontent.com/ItsCryp7iC/Genshin-Image-Hosting/main/TalentBooks/TeachingsofOrder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hyperlink" Target="https://raw.githubusercontent.com/ItsCryp7iC/Genshin-Image-Hosting/main/WeaponMaterials/GrainofAerosiderite.png" TargetMode="External"/><Relationship Id="rId609" Type="http://schemas.openxmlformats.org/officeDocument/2006/relationships/hyperlink" Target="https://raw.githubusercontent.com/ItsCryp7iC/Genshin-Image-Hosting/main/WeeklyBoss/DenialandJudgment.png" TargetMode="External"/><Relationship Id="rId956" Type="http://schemas.openxmlformats.org/officeDocument/2006/relationships/image" Target="../media/image476.png"/><Relationship Id="rId85" Type="http://schemas.openxmlformats.org/officeDocument/2006/relationships/hyperlink" Target="https://raw.githubusercontent.com/ItsCryp7iC/Genshin-Image-Hosting/main/WeaponMaterials/DebrisofDecarabiansCity.png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raw.githubusercontent.com/ItsCryp7iC/Genshin-Image-Hosting/main/Characters/Faruzan.png" TargetMode="External"/><Relationship Id="rId816" Type="http://schemas.openxmlformats.org/officeDocument/2006/relationships/image" Target="../media/image406.png"/><Relationship Id="rId1001" Type="http://schemas.openxmlformats.org/officeDocument/2006/relationships/hyperlink" Target="https://raw.githubusercontent.com/ItsCryp7iC/Genshin-Image-Hosting/main/Weapons/RoyalSpear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raw.githubusercontent.com/ItsCryp7iC/Genshin-Image-Hosting/main/LocalSpecialties/ClearwaterJade.png" TargetMode="External"/><Relationship Id="rId662" Type="http://schemas.openxmlformats.org/officeDocument/2006/relationships/image" Target="../media/image329.png"/><Relationship Id="rId1085" Type="http://schemas.openxmlformats.org/officeDocument/2006/relationships/hyperlink" Target="https://raw.githubusercontent.com/ItsCryp7iC/Genshin-Image-Hosting/main/Weapons/ThunderingPulse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raw.githubusercontent.com/ItsCryp7iC/Genshin-Image-Hosting/main/TalentBooks/PhilosophiesofProsperity.png" TargetMode="External"/><Relationship Id="rId522" Type="http://schemas.openxmlformats.org/officeDocument/2006/relationships/hyperlink" Target="https://raw.githubusercontent.com/ItsCryp7iC/Genshin-Image-Hosting/main/Characters/TravelerHydro.png" TargetMode="External"/><Relationship Id="rId967" Type="http://schemas.openxmlformats.org/officeDocument/2006/relationships/hyperlink" Target="https://raw.githubusercontent.com/ItsCryp7iC/Genshin-Image-Hosting/main/Weapons/PrimordialJadeWingedSpear.png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raw.githubusercontent.com/ItsCryp7iC/Genshin-Image-Hosting/main/WeeklyBoss/Everamber.png" TargetMode="External"/><Relationship Id="rId399" Type="http://schemas.openxmlformats.org/officeDocument/2006/relationships/hyperlink" Target="https://raw.githubusercontent.com/ItsCryp7iC/Genshin-Image-Hosting/main/WeeklyBoss/HellfireButterfly.png" TargetMode="External"/><Relationship Id="rId827" Type="http://schemas.openxmlformats.org/officeDocument/2006/relationships/hyperlink" Target="https://raw.githubusercontent.com/ItsCryp7iC/Genshin-Image-Hosting/main/Characters/Barbara.png" TargetMode="External"/><Relationship Id="rId1012" Type="http://schemas.openxmlformats.org/officeDocument/2006/relationships/image" Target="../media/image504.png"/><Relationship Id="rId259" Type="http://schemas.openxmlformats.org/officeDocument/2006/relationships/hyperlink" Target="https://raw.githubusercontent.com/ItsCryp7iC/Genshin-Image-Hosting/main/WorldBoss/CrystallineBloom.png" TargetMode="External"/><Relationship Id="rId466" Type="http://schemas.openxmlformats.org/officeDocument/2006/relationships/image" Target="../media/image233.png"/><Relationship Id="rId673" Type="http://schemas.openxmlformats.org/officeDocument/2006/relationships/hyperlink" Target="https://raw.githubusercontent.com/ItsCryp7iC/Genshin-Image-Hosting/main/Characters/Tartaglia.png" TargetMode="External"/><Relationship Id="rId880" Type="http://schemas.openxmlformats.org/officeDocument/2006/relationships/image" Target="../media/image438.png"/><Relationship Id="rId1096" Type="http://schemas.openxmlformats.org/officeDocument/2006/relationships/image" Target="../media/image546.png"/><Relationship Id="rId23" Type="http://schemas.openxmlformats.org/officeDocument/2006/relationships/hyperlink" Target="https://raw.githubusercontent.com/ItsCryp7iC/Genshin-Image-Hosting/main/WeeklyBoss/DvalinsPlume.png" TargetMode="External"/><Relationship Id="rId119" Type="http://schemas.openxmlformats.org/officeDocument/2006/relationships/hyperlink" Target="https://raw.githubusercontent.com/ItsCryp7iC/Genshin-Image-Hosting/main/Elements/electro.png" TargetMode="External"/><Relationship Id="rId326" Type="http://schemas.openxmlformats.org/officeDocument/2006/relationships/image" Target="../media/image163.png"/><Relationship Id="rId533" Type="http://schemas.openxmlformats.org/officeDocument/2006/relationships/hyperlink" Target="https://raw.githubusercontent.com/ItsCryp7iC/Genshin-Image-Hosting/main/Characters/Xingqiu.png" TargetMode="External"/><Relationship Id="rId978" Type="http://schemas.openxmlformats.org/officeDocument/2006/relationships/image" Target="../media/image487.png"/><Relationship Id="rId740" Type="http://schemas.openxmlformats.org/officeDocument/2006/relationships/image" Target="../media/image368.png"/><Relationship Id="rId838" Type="http://schemas.openxmlformats.org/officeDocument/2006/relationships/image" Target="../media/image417.png"/><Relationship Id="rId1023" Type="http://schemas.openxmlformats.org/officeDocument/2006/relationships/hyperlink" Target="https://raw.githubusercontent.com/ItsCryp7iC/Genshin-Image-Hosting/main/Weapons/SkyriderGreatsword.png" TargetMode="External"/><Relationship Id="rId172" Type="http://schemas.openxmlformats.org/officeDocument/2006/relationships/image" Target="../media/image86.png"/><Relationship Id="rId477" Type="http://schemas.openxmlformats.org/officeDocument/2006/relationships/hyperlink" Target="https://raw.githubusercontent.com/ItsCryp7iC/Genshin-Image-Hosting/main/Characters/TravelerAnemo.png" TargetMode="External"/><Relationship Id="rId600" Type="http://schemas.openxmlformats.org/officeDocument/2006/relationships/image" Target="../media/image298.png"/><Relationship Id="rId684" Type="http://schemas.openxmlformats.org/officeDocument/2006/relationships/image" Target="../media/image340.png"/><Relationship Id="rId337" Type="http://schemas.openxmlformats.org/officeDocument/2006/relationships/hyperlink" Target="https://raw.githubusercontent.com/ItsCryp7iC/Genshin-Image-Hosting/main/TalentBooks/GuidetoProsperity.png" TargetMode="External"/><Relationship Id="rId891" Type="http://schemas.openxmlformats.org/officeDocument/2006/relationships/hyperlink" Target="https://raw.githubusercontent.com/ItsCryp7iC/Genshin-Image-Hosting/main/Weapons/LightofFoliarIncision.png" TargetMode="External"/><Relationship Id="rId905" Type="http://schemas.openxmlformats.org/officeDocument/2006/relationships/hyperlink" Target="https://raw.githubusercontent.com/ItsCryp7iC/Genshin-Image-Hosting/main/Characters/Cyno.png" TargetMode="External"/><Relationship Id="rId989" Type="http://schemas.openxmlformats.org/officeDocument/2006/relationships/hyperlink" Target="https://raw.githubusercontent.com/ItsCryp7iC/Genshin-Image-Hosting/main/Weapons/RedhornStonethresher.png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70.png"/><Relationship Id="rId751" Type="http://schemas.openxmlformats.org/officeDocument/2006/relationships/hyperlink" Target="https://raw.githubusercontent.com/ItsCryp7iC/Genshin-Image-Hosting/main/Weapons/FavoniusSword.png" TargetMode="External"/><Relationship Id="rId849" Type="http://schemas.openxmlformats.org/officeDocument/2006/relationships/hyperlink" Target="https://raw.githubusercontent.com/ItsCryp7iC/Genshin-Image-Hosting/main/Characters/Mona.png" TargetMode="External"/><Relationship Id="rId183" Type="http://schemas.openxmlformats.org/officeDocument/2006/relationships/hyperlink" Target="https://raw.githubusercontent.com/ItsCryp7iC/Genshin-Image-Hosting/main/LocalSpecialties/PhilanemoMushroom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raw.githubusercontent.com/ItsCryp7iC/Genshin-Image-Hosting/main/TalentBooks/TeachingsofAdmonition.png" TargetMode="External"/><Relationship Id="rId1034" Type="http://schemas.openxmlformats.org/officeDocument/2006/relationships/image" Target="../media/image515.png"/><Relationship Id="rId250" Type="http://schemas.openxmlformats.org/officeDocument/2006/relationships/image" Target="../media/image125.png"/><Relationship Id="rId488" Type="http://schemas.openxmlformats.org/officeDocument/2006/relationships/hyperlink" Target="https://raw.githubusercontent.com/ItsCryp7iC/Genshin-Image-Hosting/main/WorldBoss/LightGuidingTetrahedron.png" TargetMode="External"/><Relationship Id="rId695" Type="http://schemas.openxmlformats.org/officeDocument/2006/relationships/hyperlink" Target="https://raw.githubusercontent.com/ItsCryp7iC/Genshin-Image-Hosting/main/Weapons/EngulfingLightning.png" TargetMode="External"/><Relationship Id="rId709" Type="http://schemas.openxmlformats.org/officeDocument/2006/relationships/hyperlink" Target="https://raw.githubusercontent.com/ItsCryp7iC/Genshin-Image-Hosting/main/Weapons/EyeofPerception.png" TargetMode="External"/><Relationship Id="rId916" Type="http://schemas.openxmlformats.org/officeDocument/2006/relationships/image" Target="../media/image456.png"/><Relationship Id="rId1101" Type="http://schemas.openxmlformats.org/officeDocument/2006/relationships/hyperlink" Target="https://raw.githubusercontent.com/ItsCryp7iC/Genshin-Image-Hosting/main/Weapons/UrakuMisugiri.png" TargetMode="External"/><Relationship Id="rId45" Type="http://schemas.openxmlformats.org/officeDocument/2006/relationships/hyperlink" Target="https://raw.githubusercontent.com/ItsCryp7iC/Genshin-Image-Hosting/main/Experience/MysticEnhancementOre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raw.githubusercontent.com/ItsCryp7iC/Genshin-Image-Hosting/main/WorldBoss/EmperorsResolution.png" TargetMode="External"/><Relationship Id="rId762" Type="http://schemas.openxmlformats.org/officeDocument/2006/relationships/image" Target="../media/image379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raw.githubusercontent.com/ItsCryp7iC/Genshin-Image-Hosting/main/LocalSpecialties/NilotpalaLotus.png" TargetMode="External"/><Relationship Id="rId622" Type="http://schemas.openxmlformats.org/officeDocument/2006/relationships/image" Target="../media/image309.png"/><Relationship Id="rId1045" Type="http://schemas.openxmlformats.org/officeDocument/2006/relationships/hyperlink" Target="https://raw.githubusercontent.com/ItsCryp7iC/Genshin-Image-Hosting/main/Weapons/SongofStillness.png" TargetMode="External"/><Relationship Id="rId261" Type="http://schemas.openxmlformats.org/officeDocument/2006/relationships/hyperlink" Target="https://raw.githubusercontent.com/ItsCryp7iC/Genshin-Image-Hosting/main/WeeklyBoss/ShardofaFoulLegacy.png" TargetMode="External"/><Relationship Id="rId499" Type="http://schemas.openxmlformats.org/officeDocument/2006/relationships/image" Target="../media/image249.png"/><Relationship Id="rId927" Type="http://schemas.openxmlformats.org/officeDocument/2006/relationships/hyperlink" Target="https://raw.githubusercontent.com/ItsCryp7iC/Genshin-Image-Hosting/main/Weapons/MappaMare.png" TargetMode="External"/><Relationship Id="rId1112" Type="http://schemas.openxmlformats.org/officeDocument/2006/relationships/image" Target="../media/image554.png"/><Relationship Id="rId56" Type="http://schemas.openxmlformats.org/officeDocument/2006/relationships/image" Target="../media/image28.png"/><Relationship Id="rId359" Type="http://schemas.openxmlformats.org/officeDocument/2006/relationships/hyperlink" Target="https://raw.githubusercontent.com/ItsCryp7iC/Genshin-Image-Hosting/main/Gems/VarunadaLazuriteSilver.png" TargetMode="External"/><Relationship Id="rId566" Type="http://schemas.openxmlformats.org/officeDocument/2006/relationships/image" Target="../media/image281.png"/><Relationship Id="rId773" Type="http://schemas.openxmlformats.org/officeDocument/2006/relationships/hyperlink" Target="https://raw.githubusercontent.com/ItsCryp7iC/Genshin-Image-Hosting/main/Characters/Gaming.png" TargetMode="External"/><Relationship Id="rId121" Type="http://schemas.openxmlformats.org/officeDocument/2006/relationships/hyperlink" Target="https://raw.githubusercontent.com/ItsCryp7iC/Genshin-Image-Hosting/main/Weapons/AlleyHunter.png" TargetMode="External"/><Relationship Id="rId219" Type="http://schemas.openxmlformats.org/officeDocument/2006/relationships/hyperlink" Target="https://raw.githubusercontent.com/ItsCryp7iC/Genshin-Image-Hosting/main/Misc/inventory.png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raw.githubusercontent.com/ItsCryp7iC/Genshin-Image-Hosting/main/TalentBooks/GuidetoIngenuity.png" TargetMode="External"/><Relationship Id="rId980" Type="http://schemas.openxmlformats.org/officeDocument/2006/relationships/image" Target="../media/image488.png"/><Relationship Id="rId1056" Type="http://schemas.openxmlformats.org/officeDocument/2006/relationships/image" Target="../media/image526.png"/><Relationship Id="rId840" Type="http://schemas.openxmlformats.org/officeDocument/2006/relationships/image" Target="../media/image418.png"/><Relationship Id="rId938" Type="http://schemas.openxmlformats.org/officeDocument/2006/relationships/image" Target="../media/image467.png"/><Relationship Id="rId67" Type="http://schemas.openxmlformats.org/officeDocument/2006/relationships/hyperlink" Target="https://raw.githubusercontent.com/ItsCryp7iC/Genshin-Image-Hosting/main/MonsterDrops/3Star/OminousMask.png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raw.githubusercontent.com/ItsCryp7iC/Genshin-Image-Hosting/main/Gems/ShivadaJadeFragment.png" TargetMode="External"/><Relationship Id="rId700" Type="http://schemas.openxmlformats.org/officeDocument/2006/relationships/image" Target="../media/image348.png"/><Relationship Id="rId1123" Type="http://schemas.openxmlformats.org/officeDocument/2006/relationships/hyperlink" Target="https://raw.githubusercontent.com/ItsCryp7iC/Genshin-Image-Hosting/main/Weapons/WolfsGravestone.png" TargetMode="External"/><Relationship Id="rId132" Type="http://schemas.openxmlformats.org/officeDocument/2006/relationships/image" Target="../media/image66.png"/><Relationship Id="rId784" Type="http://schemas.openxmlformats.org/officeDocument/2006/relationships/image" Target="../media/image390.png"/><Relationship Id="rId991" Type="http://schemas.openxmlformats.org/officeDocument/2006/relationships/hyperlink" Target="https://raw.githubusercontent.com/ItsCryp7iC/Genshin-Image-Hosting/main/Weapons/RightfulReward.png" TargetMode="External"/><Relationship Id="rId1067" Type="http://schemas.openxmlformats.org/officeDocument/2006/relationships/hyperlink" Target="https://raw.githubusercontent.com/ItsCryp7iC/Genshin-Image-Hosting/main/Weapons/TheCatch.png" TargetMode="External"/><Relationship Id="rId437" Type="http://schemas.openxmlformats.org/officeDocument/2006/relationships/hyperlink" Target="https://raw.githubusercontent.com/ItsCryp7iC/Genshin-Image-Hosting/main/TalentBooks/PhilosophiesofGold.png" TargetMode="External"/><Relationship Id="rId644" Type="http://schemas.openxmlformats.org/officeDocument/2006/relationships/image" Target="../media/image320.png"/><Relationship Id="rId851" Type="http://schemas.openxmlformats.org/officeDocument/2006/relationships/hyperlink" Target="https://raw.githubusercontent.com/ItsCryp7iC/Genshin-Image-Hosting/main/Weapons/HuntersPath.png" TargetMode="External"/><Relationship Id="rId283" Type="http://schemas.openxmlformats.org/officeDocument/2006/relationships/hyperlink" Target="https://raw.githubusercontent.com/ItsCryp7iC/Genshin-Image-Hosting/main/WeeklyBoss/ShadowoftheWarrior.png" TargetMode="External"/><Relationship Id="rId490" Type="http://schemas.openxmlformats.org/officeDocument/2006/relationships/hyperlink" Target="https://raw.githubusercontent.com/ItsCryp7iC/Genshin-Image-Hosting/main/TalentBooks/GuidetoTransience.png" TargetMode="External"/><Relationship Id="rId504" Type="http://schemas.openxmlformats.org/officeDocument/2006/relationships/image" Target="../media/image251.png"/><Relationship Id="rId711" Type="http://schemas.openxmlformats.org/officeDocument/2006/relationships/hyperlink" Target="https://raw.githubusercontent.com/ItsCryp7iC/Genshin-Image-Hosting/main/WeaponMaterials/GoldenTalismanoftheForestDew.png" TargetMode="External"/><Relationship Id="rId949" Type="http://schemas.openxmlformats.org/officeDocument/2006/relationships/hyperlink" Target="https://raw.githubusercontent.com/ItsCryp7iC/Genshin-Image-Hosting/main/Characters/Zhongli.png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raw.githubusercontent.com/ItsCryp7iC/Genshin-Image-Hosting/main/MonsterDrops/2Star/SharpArrowhead.png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2.png"/><Relationship Id="rId795" Type="http://schemas.openxmlformats.org/officeDocument/2006/relationships/hyperlink" Target="https://raw.githubusercontent.com/ItsCryp7iC/Genshin-Image-Hosting/main/WeaponMaterials/EchoofanAncientChord.png" TargetMode="External"/><Relationship Id="rId809" Type="http://schemas.openxmlformats.org/officeDocument/2006/relationships/hyperlink" Target="https://raw.githubusercontent.com/ItsCryp7iC/Genshin-Image-Hosting/main/Characters/Xinyan.png" TargetMode="External"/><Relationship Id="rId9" Type="http://schemas.openxmlformats.org/officeDocument/2006/relationships/hyperlink" Target="https://raw.githubusercontent.com/ItsCryp7iC/Genshin-Image-Hosting/main/WorldBoss/BasaltPillar.png" TargetMode="External"/><Relationship Id="rId210" Type="http://schemas.openxmlformats.org/officeDocument/2006/relationships/image" Target="../media/image105.png"/><Relationship Id="rId448" Type="http://schemas.openxmlformats.org/officeDocument/2006/relationships/image" Target="../media/image224.png"/><Relationship Id="rId655" Type="http://schemas.openxmlformats.org/officeDocument/2006/relationships/hyperlink" Target="https://raw.githubusercontent.com/ItsCryp7iC/Genshin-Image-Hosting/main/LocalSpecialties/RainbowRose.png" TargetMode="External"/><Relationship Id="rId862" Type="http://schemas.openxmlformats.org/officeDocument/2006/relationships/image" Target="../media/image429.png"/><Relationship Id="rId1078" Type="http://schemas.openxmlformats.org/officeDocument/2006/relationships/image" Target="../media/image537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image" Target="../media/image256.png"/><Relationship Id="rId722" Type="http://schemas.openxmlformats.org/officeDocument/2006/relationships/image" Target="../media/image359.png"/><Relationship Id="rId89" Type="http://schemas.openxmlformats.org/officeDocument/2006/relationships/hyperlink" Target="https://raw.githubusercontent.com/ItsCryp7iC/Genshin-Image-Hosting/main/Characters/Bennett.png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raw.githubusercontent.com/ItsCryp7iC/Genshin-Image-Hosting/main/Weapons/BlackcliffAgate.png" TargetMode="External"/><Relationship Id="rId599" Type="http://schemas.openxmlformats.org/officeDocument/2006/relationships/hyperlink" Target="https://raw.githubusercontent.com/ItsCryp7iC/Genshin-Image-Hosting/main/TalentBooks/GuidetoAdmonition.png" TargetMode="External"/><Relationship Id="rId1005" Type="http://schemas.openxmlformats.org/officeDocument/2006/relationships/hyperlink" Target="https://raw.githubusercontent.com/ItsCryp7iC/Genshin-Image-Hosting/main/Weapons/SacrificialBow.png" TargetMode="External"/><Relationship Id="rId459" Type="http://schemas.openxmlformats.org/officeDocument/2006/relationships/hyperlink" Target="https://raw.githubusercontent.com/ItsCryp7iC/Genshin-Image-Hosting/main/WeaponMaterials/MistVeiledLeadElixir.png" TargetMode="External"/><Relationship Id="rId666" Type="http://schemas.openxmlformats.org/officeDocument/2006/relationships/image" Target="../media/image331.png"/><Relationship Id="rId873" Type="http://schemas.openxmlformats.org/officeDocument/2006/relationships/hyperlink" Target="https://raw.githubusercontent.com/ItsCryp7iC/Genshin-Image-Hosting/main/Characters/Sucrose.png" TargetMode="External"/><Relationship Id="rId1089" Type="http://schemas.openxmlformats.org/officeDocument/2006/relationships/hyperlink" Target="https://raw.githubusercontent.com/ItsCryp7iC/Genshin-Image-Hosting/main/Weapons/TomeoftheEternalFlow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raw.githubusercontent.com/ItsCryp7iC/Genshin-Image-Hosting/main/Weapons/AquaSimulacra.png" TargetMode="External"/><Relationship Id="rId319" Type="http://schemas.openxmlformats.org/officeDocument/2006/relationships/hyperlink" Target="https://raw.githubusercontent.com/ItsCryp7iC/Genshin-Image-Hosting/main/Gems/VarunadaLazuriteChunk.png" TargetMode="External"/><Relationship Id="rId526" Type="http://schemas.openxmlformats.org/officeDocument/2006/relationships/image" Target="../media/image261.png"/><Relationship Id="rId733" Type="http://schemas.openxmlformats.org/officeDocument/2006/relationships/hyperlink" Target="https://raw.githubusercontent.com/ItsCryp7iC/Genshin-Image-Hosting/main/LocalSpecialties/SpringoftheFirstDewdrop.png" TargetMode="External"/><Relationship Id="rId940" Type="http://schemas.openxmlformats.org/officeDocument/2006/relationships/image" Target="../media/image468.png"/><Relationship Id="rId1016" Type="http://schemas.openxmlformats.org/officeDocument/2006/relationships/image" Target="../media/image506.png"/><Relationship Id="rId165" Type="http://schemas.openxmlformats.org/officeDocument/2006/relationships/hyperlink" Target="https://raw.githubusercontent.com/ItsCryp7iC/Genshin-Image-Hosting/main/MonsterDrops/3Star/XenochromaticCrystal.png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raw.githubusercontent.com/ItsCryp7iC/Genshin-Image-Hosting/main/LocalSpecialties/BerylConch.png" TargetMode="External"/><Relationship Id="rId800" Type="http://schemas.openxmlformats.org/officeDocument/2006/relationships/image" Target="../media/image398.png"/><Relationship Id="rId232" Type="http://schemas.openxmlformats.org/officeDocument/2006/relationships/image" Target="../media/image116.png"/><Relationship Id="rId884" Type="http://schemas.openxmlformats.org/officeDocument/2006/relationships/image" Target="../media/image440.png"/><Relationship Id="rId27" Type="http://schemas.openxmlformats.org/officeDocument/2006/relationships/hyperlink" Target="https://raw.githubusercontent.com/ItsCryp7iC/Genshin-Image-Hosting/main/MonsterDrops/2Star/SlimeSecretions.png" TargetMode="External"/><Relationship Id="rId537" Type="http://schemas.openxmlformats.org/officeDocument/2006/relationships/hyperlink" Target="https://raw.githubusercontent.com/ItsCryp7iC/Genshin-Image-Hosting/main/LocalSpecialties/SangoPearl.png" TargetMode="External"/><Relationship Id="rId744" Type="http://schemas.openxmlformats.org/officeDocument/2006/relationships/image" Target="../media/image370.png"/><Relationship Id="rId951" Type="http://schemas.openxmlformats.org/officeDocument/2006/relationships/hyperlink" Target="https://raw.githubusercontent.com/ItsCryp7iC/Genshin-Image-Hosting/main/Weapons/Moonpiercer.png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raw.githubusercontent.com/ItsCryp7iC/Genshin-Image-Hosting/main/LocalSpecialties/Qingxin.png" TargetMode="External"/><Relationship Id="rId590" Type="http://schemas.openxmlformats.org/officeDocument/2006/relationships/image" Target="../media/image293.png"/><Relationship Id="rId604" Type="http://schemas.openxmlformats.org/officeDocument/2006/relationships/image" Target="../media/image300.png"/><Relationship Id="rId811" Type="http://schemas.openxmlformats.org/officeDocument/2006/relationships/hyperlink" Target="https://raw.githubusercontent.com/ItsCryp7iC/Genshin-Image-Hosting/main/Weapons/Frostbearer.png" TargetMode="External"/><Relationship Id="rId1027" Type="http://schemas.openxmlformats.org/officeDocument/2006/relationships/hyperlink" Target="https://raw.githubusercontent.com/ItsCryp7iC/Genshin-Image-Hosting/main/Weapons/SkywardAtlas.png" TargetMode="External"/><Relationship Id="rId243" Type="http://schemas.openxmlformats.org/officeDocument/2006/relationships/hyperlink" Target="https://raw.githubusercontent.com/ItsCryp7iC/Genshin-Image-Hosting/main/Elements/cryo.png" TargetMode="External"/><Relationship Id="rId450" Type="http://schemas.openxmlformats.org/officeDocument/2006/relationships/image" Target="../media/image225.png"/><Relationship Id="rId688" Type="http://schemas.openxmlformats.org/officeDocument/2006/relationships/image" Target="../media/image342.png"/><Relationship Id="rId895" Type="http://schemas.openxmlformats.org/officeDocument/2006/relationships/hyperlink" Target="https://raw.githubusercontent.com/ItsCryp7iC/Genshin-Image-Hosting/main/Weapons/LionsRoar.png" TargetMode="External"/><Relationship Id="rId909" Type="http://schemas.openxmlformats.org/officeDocument/2006/relationships/hyperlink" Target="https://raw.githubusercontent.com/ItsCryp7iC/Genshin-Image-Hosting/main/Characters/HuTao.png" TargetMode="External"/><Relationship Id="rId1080" Type="http://schemas.openxmlformats.org/officeDocument/2006/relationships/image" Target="../media/image538.png"/><Relationship Id="rId38" Type="http://schemas.openxmlformats.org/officeDocument/2006/relationships/image" Target="../media/image19.png"/><Relationship Id="rId103" Type="http://schemas.openxmlformats.org/officeDocument/2006/relationships/hyperlink" Target="https://raw.githubusercontent.com/ItsCryp7iC/Genshin-Image-Hosting/main/WorldBoss/HoarfrostCore.png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2.png"/><Relationship Id="rId755" Type="http://schemas.openxmlformats.org/officeDocument/2006/relationships/hyperlink" Target="https://raw.githubusercontent.com/ItsCryp7iC/Genshin-Image-Hosting/main/Characters/Dori.png" TargetMode="External"/><Relationship Id="rId962" Type="http://schemas.openxmlformats.org/officeDocument/2006/relationships/image" Target="../media/image479.png"/><Relationship Id="rId91" Type="http://schemas.openxmlformats.org/officeDocument/2006/relationships/hyperlink" Target="https://raw.githubusercontent.com/ItsCryp7iC/Genshin-Image-Hosting/main/Elements/pyro.png" TargetMode="External"/><Relationship Id="rId187" Type="http://schemas.openxmlformats.org/officeDocument/2006/relationships/hyperlink" Target="https://raw.githubusercontent.com/ItsCryp7iC/Genshin-Image-Hosting/main/Billets/catalyst.png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raw.githubusercontent.com/ItsCryp7iC/Genshin-Image-Hosting/main/Gems/PrithivaTopazChunk.png" TargetMode="External"/><Relationship Id="rId822" Type="http://schemas.openxmlformats.org/officeDocument/2006/relationships/image" Target="../media/image409.png"/><Relationship Id="rId1038" Type="http://schemas.openxmlformats.org/officeDocument/2006/relationships/image" Target="../media/image517.png"/><Relationship Id="rId254" Type="http://schemas.openxmlformats.org/officeDocument/2006/relationships/image" Target="../media/image127.png"/><Relationship Id="rId699" Type="http://schemas.openxmlformats.org/officeDocument/2006/relationships/hyperlink" Target="https://raw.githubusercontent.com/ItsCryp7iC/Genshin-Image-Hosting/main/Characters/Yelan.png" TargetMode="External"/><Relationship Id="rId1091" Type="http://schemas.openxmlformats.org/officeDocument/2006/relationships/hyperlink" Target="https://raw.githubusercontent.com/ItsCryp7iC/Genshin-Image-Hosting/main/Weapons/ToukabouShigure.png" TargetMode="External"/><Relationship Id="rId1105" Type="http://schemas.openxmlformats.org/officeDocument/2006/relationships/hyperlink" Target="https://raw.githubusercontent.com/ItsCryp7iC/Genshin-Image-Hosting/main/Weapons/VortexVanquisher.png" TargetMode="External"/><Relationship Id="rId49" Type="http://schemas.openxmlformats.org/officeDocument/2006/relationships/hyperlink" Target="https://raw.githubusercontent.com/ItsCryp7iC/Genshin-Image-Hosting/main/Elements/dendro.png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raw.githubusercontent.com/ItsCryp7iC/Genshin-Image-Hosting/main/Characters/Qiqi.png" TargetMode="External"/><Relationship Id="rId559" Type="http://schemas.openxmlformats.org/officeDocument/2006/relationships/hyperlink" Target="https://raw.githubusercontent.com/ItsCryp7iC/Genshin-Image-Hosting/main/TalentBooks/GuidetoLight.png" TargetMode="External"/><Relationship Id="rId766" Type="http://schemas.openxmlformats.org/officeDocument/2006/relationships/image" Target="../media/image381.png"/><Relationship Id="rId198" Type="http://schemas.openxmlformats.org/officeDocument/2006/relationships/image" Target="../media/image99.png"/><Relationship Id="rId321" Type="http://schemas.openxmlformats.org/officeDocument/2006/relationships/hyperlink" Target="https://raw.githubusercontent.com/ItsCryp7iC/Genshin-Image-Hosting/main/Weapons/BalladoftheFjords.png" TargetMode="External"/><Relationship Id="rId419" Type="http://schemas.openxmlformats.org/officeDocument/2006/relationships/hyperlink" Target="https://raw.githubusercontent.com/ItsCryp7iC/Genshin-Image-Hosting/main/WeeklyBoss/AshenHeart.png" TargetMode="External"/><Relationship Id="rId626" Type="http://schemas.openxmlformats.org/officeDocument/2006/relationships/image" Target="../media/image311.png"/><Relationship Id="rId973" Type="http://schemas.openxmlformats.org/officeDocument/2006/relationships/hyperlink" Target="https://raw.githubusercontent.com/ItsCryp7iC/Genshin-Image-Hosting/main/Weapons/PrototypeArchaic.png" TargetMode="External"/><Relationship Id="rId1049" Type="http://schemas.openxmlformats.org/officeDocument/2006/relationships/hyperlink" Target="https://raw.githubusercontent.com/ItsCryp7iC/Genshin-Image-Hosting/main/Weapons/StaffofHoma.png" TargetMode="External"/><Relationship Id="rId833" Type="http://schemas.openxmlformats.org/officeDocument/2006/relationships/hyperlink" Target="https://raw.githubusercontent.com/ItsCryp7iC/Genshin-Image-Hosting/main/Characters/Charlotte.png" TargetMode="External"/><Relationship Id="rId1116" Type="http://schemas.openxmlformats.org/officeDocument/2006/relationships/image" Target="../media/image556.png"/><Relationship Id="rId265" Type="http://schemas.openxmlformats.org/officeDocument/2006/relationships/hyperlink" Target="https://raw.githubusercontent.com/ItsCryp7iC/Genshin-Image-Hosting/main/MonsterDrops/2Star/KageuchiHandguard.png" TargetMode="External"/><Relationship Id="rId472" Type="http://schemas.openxmlformats.org/officeDocument/2006/relationships/image" Target="../media/image236.png"/><Relationship Id="rId900" Type="http://schemas.openxmlformats.org/officeDocument/2006/relationships/image" Target="../media/image448.png"/><Relationship Id="rId125" Type="http://schemas.openxmlformats.org/officeDocument/2006/relationships/hyperlink" Target="https://raw.githubusercontent.com/ItsCryp7iC/Genshin-Image-Hosting/main/Experience/EnhancementOre.png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raw.githubusercontent.com/ItsCryp7iC/Genshin-Image-Hosting/main/WeaponMaterials/FragmentofanAncientChord.png" TargetMode="External"/><Relationship Id="rId984" Type="http://schemas.openxmlformats.org/officeDocument/2006/relationships/image" Target="../media/image490.png"/><Relationship Id="rId637" Type="http://schemas.openxmlformats.org/officeDocument/2006/relationships/hyperlink" Target="https://raw.githubusercontent.com/ItsCryp7iC/Genshin-Image-Hosting/main/Weapons/DodocoTales.png" TargetMode="External"/><Relationship Id="rId844" Type="http://schemas.openxmlformats.org/officeDocument/2006/relationships/image" Target="../media/image420.png"/><Relationship Id="rId276" Type="http://schemas.openxmlformats.org/officeDocument/2006/relationships/image" Target="../media/image138.png"/><Relationship Id="rId483" Type="http://schemas.openxmlformats.org/officeDocument/2006/relationships/hyperlink" Target="https://raw.githubusercontent.com/ItsCryp7iC/Genshin-Image-Hosting/main/Weapons/CalamityQueller.png" TargetMode="External"/><Relationship Id="rId690" Type="http://schemas.openxmlformats.org/officeDocument/2006/relationships/image" Target="../media/image343.png"/><Relationship Id="rId704" Type="http://schemas.openxmlformats.org/officeDocument/2006/relationships/image" Target="../media/image350.png"/><Relationship Id="rId911" Type="http://schemas.openxmlformats.org/officeDocument/2006/relationships/hyperlink" Target="https://raw.githubusercontent.com/ItsCryp7iC/Genshin-Image-Hosting/main/Weapons/LuxuriousSeaLord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343" Type="http://schemas.openxmlformats.org/officeDocument/2006/relationships/hyperlink" Target="https://raw.githubusercontent.com/ItsCryp7iC/Genshin-Image-Hosting/main/Weapons/BeaconoftheReedSea.png" TargetMode="External"/><Relationship Id="rId550" Type="http://schemas.openxmlformats.org/officeDocument/2006/relationships/image" Target="../media/image273.png"/><Relationship Id="rId788" Type="http://schemas.openxmlformats.org/officeDocument/2006/relationships/image" Target="../media/image392.png"/><Relationship Id="rId995" Type="http://schemas.openxmlformats.org/officeDocument/2006/relationships/hyperlink" Target="https://raw.githubusercontent.com/ItsCryp7iC/Genshin-Image-Hosting/main/Weapons/RoyalGreatsword.png" TargetMode="External"/><Relationship Id="rId203" Type="http://schemas.openxmlformats.org/officeDocument/2006/relationships/hyperlink" Target="https://raw.githubusercontent.com/ItsCryp7iC/Genshin-Image-Hosting/main/LocalSpecialties/LakelightLily.png" TargetMode="External"/><Relationship Id="rId648" Type="http://schemas.openxmlformats.org/officeDocument/2006/relationships/image" Target="../media/image322.png"/><Relationship Id="rId855" Type="http://schemas.openxmlformats.org/officeDocument/2006/relationships/hyperlink" Target="https://raw.githubusercontent.com/ItsCryp7iC/Genshin-Image-Hosting/main/Weapons/IbisPiercer.png" TargetMode="External"/><Relationship Id="rId1040" Type="http://schemas.openxmlformats.org/officeDocument/2006/relationships/image" Target="../media/image518.png"/><Relationship Id="rId287" Type="http://schemas.openxmlformats.org/officeDocument/2006/relationships/hyperlink" Target="https://raw.githubusercontent.com/ItsCryp7iC/Genshin-Image-Hosting/main/MonsterDrops/1Star/SpectralHusk.png" TargetMode="External"/><Relationship Id="rId410" Type="http://schemas.openxmlformats.org/officeDocument/2006/relationships/image" Target="../media/image205.png"/><Relationship Id="rId494" Type="http://schemas.openxmlformats.org/officeDocument/2006/relationships/hyperlink" Target="https://raw.githubusercontent.com/ItsCryp7iC/Genshin-Image-Hosting/main/Gems/VajradaAmethystSilver.png" TargetMode="External"/><Relationship Id="rId508" Type="http://schemas.openxmlformats.org/officeDocument/2006/relationships/image" Target="../media/image253.png"/><Relationship Id="rId715" Type="http://schemas.openxmlformats.org/officeDocument/2006/relationships/hyperlink" Target="https://raw.githubusercontent.com/ItsCryp7iC/Genshin-Image-Hosting/main/TalentBooks/GuidetoJustice.png" TargetMode="External"/><Relationship Id="rId922" Type="http://schemas.openxmlformats.org/officeDocument/2006/relationships/image" Target="../media/image459.png"/><Relationship Id="rId147" Type="http://schemas.openxmlformats.org/officeDocument/2006/relationships/hyperlink" Target="https://raw.githubusercontent.com/ItsCryp7iC/Genshin-Image-Hosting/main/Gems/BrilliantDiamondSilver.png" TargetMode="External"/><Relationship Id="rId354" Type="http://schemas.openxmlformats.org/officeDocument/2006/relationships/image" Target="../media/image177.png"/><Relationship Id="rId799" Type="http://schemas.openxmlformats.org/officeDocument/2006/relationships/hyperlink" Target="https://raw.githubusercontent.com/ItsCryp7iC/Genshin-Image-Hosting/main/Weapons/ForestRegalia.png" TargetMode="External"/><Relationship Id="rId51" Type="http://schemas.openxmlformats.org/officeDocument/2006/relationships/hyperlink" Target="https://raw.githubusercontent.com/ItsCryp7iC/Genshin-Image-Hosting/main/WorldBoss/PseudoStamens.png" TargetMode="External"/><Relationship Id="rId561" Type="http://schemas.openxmlformats.org/officeDocument/2006/relationships/hyperlink" Target="https://raw.githubusercontent.com/ItsCryp7iC/Genshin-Image-Hosting/main/LocalSpecialties/FluorescentFungus.png" TargetMode="External"/><Relationship Id="rId659" Type="http://schemas.openxmlformats.org/officeDocument/2006/relationships/hyperlink" Target="https://raw.githubusercontent.com/ItsCryp7iC/Genshin-Image-Hosting/main/Weapons/DragonspineSpear.png" TargetMode="External"/><Relationship Id="rId866" Type="http://schemas.openxmlformats.org/officeDocument/2006/relationships/image" Target="../media/image431.png"/><Relationship Id="rId214" Type="http://schemas.openxmlformats.org/officeDocument/2006/relationships/image" Target="../media/image107.png"/><Relationship Id="rId298" Type="http://schemas.openxmlformats.org/officeDocument/2006/relationships/image" Target="../media/image149.png"/><Relationship Id="rId421" Type="http://schemas.openxmlformats.org/officeDocument/2006/relationships/hyperlink" Target="https://raw.githubusercontent.com/ItsCryp7iC/Genshin-Image-Hosting/main/TalentBooks/TeachingsofDiligence.png" TargetMode="External"/><Relationship Id="rId519" Type="http://schemas.openxmlformats.org/officeDocument/2006/relationships/image" Target="../media/image258.png"/><Relationship Id="rId1051" Type="http://schemas.openxmlformats.org/officeDocument/2006/relationships/hyperlink" Target="https://raw.githubusercontent.com/ItsCryp7iC/Genshin-Image-Hosting/main/Weapons/StaffoftheScarletSands.png" TargetMode="External"/><Relationship Id="rId158" Type="http://schemas.openxmlformats.org/officeDocument/2006/relationships/image" Target="../media/image79.png"/><Relationship Id="rId726" Type="http://schemas.openxmlformats.org/officeDocument/2006/relationships/image" Target="../media/image361.png"/><Relationship Id="rId933" Type="http://schemas.openxmlformats.org/officeDocument/2006/relationships/hyperlink" Target="https://raw.githubusercontent.com/ItsCryp7iC/Genshin-Image-Hosting/main/Characters/Xiangling.png" TargetMode="External"/><Relationship Id="rId1009" Type="http://schemas.openxmlformats.org/officeDocument/2006/relationships/hyperlink" Target="https://raw.githubusercontent.com/ItsCryp7iC/Genshin-Image-Hosting/main/Weapons/SacrificialGreatsword.png" TargetMode="External"/><Relationship Id="rId62" Type="http://schemas.openxmlformats.org/officeDocument/2006/relationships/image" Target="../media/image31.png"/><Relationship Id="rId365" Type="http://schemas.openxmlformats.org/officeDocument/2006/relationships/hyperlink" Target="https://raw.githubusercontent.com/ItsCryp7iC/Genshin-Image-Hosting/main/Characters/Kirara.png" TargetMode="External"/><Relationship Id="rId572" Type="http://schemas.openxmlformats.org/officeDocument/2006/relationships/image" Target="../media/image284.png"/><Relationship Id="rId225" Type="http://schemas.openxmlformats.org/officeDocument/2006/relationships/hyperlink" Target="https://raw.githubusercontent.com/ItsCryp7iC/Genshin-Image-Hosting/main/Characters/Jean.png" TargetMode="External"/><Relationship Id="rId432" Type="http://schemas.openxmlformats.org/officeDocument/2006/relationships/image" Target="../media/image216.png"/><Relationship Id="rId877" Type="http://schemas.openxmlformats.org/officeDocument/2006/relationships/hyperlink" Target="https://raw.githubusercontent.com/ItsCryp7iC/Genshin-Image-Hosting/main/Characters/Wanderer.png" TargetMode="External"/><Relationship Id="rId1062" Type="http://schemas.openxmlformats.org/officeDocument/2006/relationships/image" Target="../media/image529.png"/><Relationship Id="rId737" Type="http://schemas.openxmlformats.org/officeDocument/2006/relationships/hyperlink" Target="https://raw.githubusercontent.com/ItsCryp7iC/Genshin-Image-Hosting/main/WeaponMaterials/OasisGardensMourning.png" TargetMode="External"/><Relationship Id="rId944" Type="http://schemas.openxmlformats.org/officeDocument/2006/relationships/image" Target="../media/image470.png"/><Relationship Id="rId73" Type="http://schemas.openxmlformats.org/officeDocument/2006/relationships/hyperlink" Target="https://raw.githubusercontent.com/ItsCryp7iC/Genshin-Image-Hosting/main/TalentBooks/GuidetoFreedom.png" TargetMode="External"/><Relationship Id="rId169" Type="http://schemas.openxmlformats.org/officeDocument/2006/relationships/hyperlink" Target="https://raw.githubusercontent.com/ItsCryp7iC/Genshin-Image-Hosting/main/Gems/VajradaAmethystGemstone.png" TargetMode="External"/><Relationship Id="rId376" Type="http://schemas.openxmlformats.org/officeDocument/2006/relationships/image" Target="../media/image188.png"/><Relationship Id="rId583" Type="http://schemas.openxmlformats.org/officeDocument/2006/relationships/hyperlink" Target="https://raw.githubusercontent.com/ItsCryp7iC/Genshin-Image-Hosting/main/Characters/Diona.png" TargetMode="External"/><Relationship Id="rId790" Type="http://schemas.openxmlformats.org/officeDocument/2006/relationships/image" Target="../media/image393.png"/><Relationship Id="rId804" Type="http://schemas.openxmlformats.org/officeDocument/2006/relationships/image" Target="../media/image400.png"/><Relationship Id="rId4" Type="http://schemas.openxmlformats.org/officeDocument/2006/relationships/image" Target="../media/image2.png"/><Relationship Id="rId236" Type="http://schemas.openxmlformats.org/officeDocument/2006/relationships/image" Target="../media/image118.png"/><Relationship Id="rId443" Type="http://schemas.openxmlformats.org/officeDocument/2006/relationships/hyperlink" Target="https://raw.githubusercontent.com/ItsCryp7iC/Genshin-Image-Hosting/main/WeaponMaterials/DivineBodyfromGuyun.png" TargetMode="External"/><Relationship Id="rId650" Type="http://schemas.openxmlformats.org/officeDocument/2006/relationships/image" Target="../media/image323.png"/><Relationship Id="rId888" Type="http://schemas.openxmlformats.org/officeDocument/2006/relationships/image" Target="../media/image442.png"/><Relationship Id="rId1073" Type="http://schemas.openxmlformats.org/officeDocument/2006/relationships/hyperlink" Target="https://raw.githubusercontent.com/ItsCryp7iC/Genshin-Image-Hosting/main/Weapons/TheFlute.png" TargetMode="External"/><Relationship Id="rId303" Type="http://schemas.openxmlformats.org/officeDocument/2006/relationships/hyperlink" Target="https://raw.githubusercontent.com/ItsCryp7iC/Genshin-Image-Hosting/main/TalentBooks/PhilosophiesofElegance.png" TargetMode="External"/><Relationship Id="rId748" Type="http://schemas.openxmlformats.org/officeDocument/2006/relationships/image" Target="../media/image372.png"/><Relationship Id="rId955" Type="http://schemas.openxmlformats.org/officeDocument/2006/relationships/hyperlink" Target="https://raw.githubusercontent.com/ItsCryp7iC/Genshin-Image-Hosting/main/Weapons/OathswornEye.png" TargetMode="External"/><Relationship Id="rId84" Type="http://schemas.openxmlformats.org/officeDocument/2006/relationships/image" Target="../media/image42.png"/><Relationship Id="rId387" Type="http://schemas.openxmlformats.org/officeDocument/2006/relationships/hyperlink" Target="https://raw.githubusercontent.com/ItsCryp7iC/Genshin-Image-Hosting/main/WeaponMaterials/LuminousSandsfromGuyun.png" TargetMode="External"/><Relationship Id="rId510" Type="http://schemas.openxmlformats.org/officeDocument/2006/relationships/image" Target="../media/image254.png"/><Relationship Id="rId594" Type="http://schemas.openxmlformats.org/officeDocument/2006/relationships/image" Target="../media/image295.png"/><Relationship Id="rId608" Type="http://schemas.openxmlformats.org/officeDocument/2006/relationships/image" Target="../media/image302.png"/><Relationship Id="rId815" Type="http://schemas.openxmlformats.org/officeDocument/2006/relationships/hyperlink" Target="https://raw.githubusercontent.com/ItsCryp7iC/Genshin-Image-Hosting/main/Characters/Arlecchino.png" TargetMode="External"/><Relationship Id="rId247" Type="http://schemas.openxmlformats.org/officeDocument/2006/relationships/hyperlink" Target="https://raw.githubusercontent.com/ItsCryp7iC/Genshin-Image-Hosting/main/WeaponMaterials/BorealWolfsBrokenFang.png" TargetMode="External"/><Relationship Id="rId899" Type="http://schemas.openxmlformats.org/officeDocument/2006/relationships/hyperlink" Target="https://raw.githubusercontent.com/ItsCryp7iC/Genshin-Image-Hosting/main/Weapons/LithicBlade.png" TargetMode="External"/><Relationship Id="rId1000" Type="http://schemas.openxmlformats.org/officeDocument/2006/relationships/image" Target="../media/image498.png"/><Relationship Id="rId1084" Type="http://schemas.openxmlformats.org/officeDocument/2006/relationships/image" Target="../media/image540.png"/><Relationship Id="rId107" Type="http://schemas.openxmlformats.org/officeDocument/2006/relationships/hyperlink" Target="https://raw.githubusercontent.com/ItsCryp7iC/Genshin-Image-Hosting/main/MonsterDrops/2Star/SealedScroll.png" TargetMode="External"/><Relationship Id="rId454" Type="http://schemas.openxmlformats.org/officeDocument/2006/relationships/image" Target="../media/image227.png"/><Relationship Id="rId661" Type="http://schemas.openxmlformats.org/officeDocument/2006/relationships/hyperlink" Target="https://raw.githubusercontent.com/ItsCryp7iC/Genshin-Image-Hosting/main/WeaponMaterials/MaskoftheTigersBite.png" TargetMode="External"/><Relationship Id="rId759" Type="http://schemas.openxmlformats.org/officeDocument/2006/relationships/hyperlink" Target="https://raw.githubusercontent.com/ItsCryp7iC/Genshin-Image-Hosting/main/WeaponMaterials/RemnantGlowofScorchingMight.png" TargetMode="External"/><Relationship Id="rId966" Type="http://schemas.openxmlformats.org/officeDocument/2006/relationships/image" Target="../media/image481.png"/><Relationship Id="rId11" Type="http://schemas.openxmlformats.org/officeDocument/2006/relationships/hyperlink" Target="https://raw.githubusercontent.com/ItsCryp7iC/Genshin-Image-Hosting/main/WeeklyBoss/TuskofMonocerosCaeli.png" TargetMode="External"/><Relationship Id="rId314" Type="http://schemas.openxmlformats.org/officeDocument/2006/relationships/image" Target="../media/image157.png"/><Relationship Id="rId398" Type="http://schemas.openxmlformats.org/officeDocument/2006/relationships/image" Target="../media/image199.png"/><Relationship Id="rId521" Type="http://schemas.openxmlformats.org/officeDocument/2006/relationships/image" Target="../media/image259.png"/><Relationship Id="rId619" Type="http://schemas.openxmlformats.org/officeDocument/2006/relationships/hyperlink" Target="https://raw.githubusercontent.com/ItsCryp7iC/Genshin-Image-Hosting/main/WeaponMaterials/NarukamisJoy.png" TargetMode="External"/><Relationship Id="rId95" Type="http://schemas.openxmlformats.org/officeDocument/2006/relationships/hyperlink" Target="https://raw.githubusercontent.com/ItsCryp7iC/Genshin-Image-Hosting/main/TalentBooks/PhilosophiesofResistance.png" TargetMode="External"/><Relationship Id="rId160" Type="http://schemas.openxmlformats.org/officeDocument/2006/relationships/image" Target="../media/image80.png"/><Relationship Id="rId826" Type="http://schemas.openxmlformats.org/officeDocument/2006/relationships/image" Target="../media/image411.png"/><Relationship Id="rId1011" Type="http://schemas.openxmlformats.org/officeDocument/2006/relationships/hyperlink" Target="https://raw.githubusercontent.com/ItsCryp7iC/Genshin-Image-Hosting/main/Weapons/SacrificialJade.png" TargetMode="External"/><Relationship Id="rId1109" Type="http://schemas.openxmlformats.org/officeDocument/2006/relationships/hyperlink" Target="https://raw.githubusercontent.com/ItsCryp7iC/Genshin-Image-Hosting/main/Weapons/WavebreakersFin.png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raw.githubusercontent.com/ItsCryp7iC/Genshin-Image-Hosting/main/WeeklyBoss/TheMeaningofAeons.png" TargetMode="External"/><Relationship Id="rId672" Type="http://schemas.openxmlformats.org/officeDocument/2006/relationships/image" Target="../media/image334.png"/><Relationship Id="rId1095" Type="http://schemas.openxmlformats.org/officeDocument/2006/relationships/hyperlink" Target="https://raw.githubusercontent.com/ItsCryp7iC/Genshin-Image-Hosting/main/Weapons/TulaytullahsRemembrance.png" TargetMode="External"/><Relationship Id="rId22" Type="http://schemas.openxmlformats.org/officeDocument/2006/relationships/image" Target="../media/image11.png"/><Relationship Id="rId118" Type="http://schemas.openxmlformats.org/officeDocument/2006/relationships/image" Target="../media/image59.png"/><Relationship Id="rId325" Type="http://schemas.openxmlformats.org/officeDocument/2006/relationships/hyperlink" Target="https://raw.githubusercontent.com/ItsCryp7iC/Genshin-Image-Hosting/main/Characters/KamisatoAyato.png" TargetMode="External"/><Relationship Id="rId532" Type="http://schemas.openxmlformats.org/officeDocument/2006/relationships/image" Target="../media/image264.png"/><Relationship Id="rId977" Type="http://schemas.openxmlformats.org/officeDocument/2006/relationships/hyperlink" Target="https://raw.githubusercontent.com/ItsCryp7iC/Genshin-Image-Hosting/main/Weapons/PrototypeRancour.png" TargetMode="External"/><Relationship Id="rId171" Type="http://schemas.openxmlformats.org/officeDocument/2006/relationships/hyperlink" Target="https://raw.githubusercontent.com/ItsCryp7iC/Genshin-Image-Hosting/main/WorldBoss/CleansingHeart.png" TargetMode="External"/><Relationship Id="rId837" Type="http://schemas.openxmlformats.org/officeDocument/2006/relationships/hyperlink" Target="https://raw.githubusercontent.com/ItsCryp7iC/Genshin-Image-Hosting/main/WeaponMaterials/SilverGobletofthePristineSea.png" TargetMode="External"/><Relationship Id="rId1022" Type="http://schemas.openxmlformats.org/officeDocument/2006/relationships/image" Target="../media/image509.png"/><Relationship Id="rId269" Type="http://schemas.openxmlformats.org/officeDocument/2006/relationships/hyperlink" Target="https://raw.githubusercontent.com/ItsCryp7iC/Genshin-Image-Hosting/main/TalentBooks/GuidetoBallad.png" TargetMode="External"/><Relationship Id="rId476" Type="http://schemas.openxmlformats.org/officeDocument/2006/relationships/image" Target="../media/image238.png"/><Relationship Id="rId683" Type="http://schemas.openxmlformats.org/officeDocument/2006/relationships/hyperlink" Target="https://raw.githubusercontent.com/ItsCryp7iC/Genshin-Image-Hosting/main/Characters/Tighnari.png" TargetMode="External"/><Relationship Id="rId890" Type="http://schemas.openxmlformats.org/officeDocument/2006/relationships/image" Target="../media/image443.png"/><Relationship Id="rId904" Type="http://schemas.openxmlformats.org/officeDocument/2006/relationships/image" Target="../media/image450.png"/><Relationship Id="rId33" Type="http://schemas.openxmlformats.org/officeDocument/2006/relationships/hyperlink" Target="https://raw.githubusercontent.com/ItsCryp7iC/Genshin-Image-Hosting/main/LocalSpecialties/Wolfhook.png" TargetMode="External"/><Relationship Id="rId129" Type="http://schemas.openxmlformats.org/officeDocument/2006/relationships/hyperlink" Target="https://raw.githubusercontent.com/ItsCryp7iC/Genshin-Image-Hosting/main/WorldBoss/ArtificedSpareClockworkComponentCoppelia.png" TargetMode="External"/><Relationship Id="rId336" Type="http://schemas.openxmlformats.org/officeDocument/2006/relationships/image" Target="../media/image168.png"/><Relationship Id="rId543" Type="http://schemas.openxmlformats.org/officeDocument/2006/relationships/hyperlink" Target="https://raw.githubusercontent.com/ItsCryp7iC/Genshin-Image-Hosting/main/WeaponMaterials/ChunkofAerosiderite.png" TargetMode="External"/><Relationship Id="rId988" Type="http://schemas.openxmlformats.org/officeDocument/2006/relationships/image" Target="../media/image492.png"/><Relationship Id="rId182" Type="http://schemas.openxmlformats.org/officeDocument/2006/relationships/image" Target="../media/image91.png"/><Relationship Id="rId403" Type="http://schemas.openxmlformats.org/officeDocument/2006/relationships/hyperlink" Target="https://raw.githubusercontent.com/ItsCryp7iC/Genshin-Image-Hosting/main/LocalSpecialties/Starconch.png" TargetMode="External"/><Relationship Id="rId750" Type="http://schemas.openxmlformats.org/officeDocument/2006/relationships/image" Target="../media/image373.png"/><Relationship Id="rId848" Type="http://schemas.openxmlformats.org/officeDocument/2006/relationships/image" Target="../media/image422.png"/><Relationship Id="rId1033" Type="http://schemas.openxmlformats.org/officeDocument/2006/relationships/hyperlink" Target="https://raw.githubusercontent.com/ItsCryp7iC/Genshin-Image-Hosting/main/Weapons/SkywardPride.png" TargetMode="External"/><Relationship Id="rId487" Type="http://schemas.openxmlformats.org/officeDocument/2006/relationships/hyperlink" Target="https://raw.githubusercontent.com/ItsCryp7iC/Genshin-Image-Hosting/main/Characters/TravelerGeo.png" TargetMode="External"/><Relationship Id="rId610" Type="http://schemas.openxmlformats.org/officeDocument/2006/relationships/image" Target="../media/image303.png"/><Relationship Id="rId694" Type="http://schemas.openxmlformats.org/officeDocument/2006/relationships/image" Target="../media/image345.png"/><Relationship Id="rId708" Type="http://schemas.openxmlformats.org/officeDocument/2006/relationships/image" Target="../media/image352.png"/><Relationship Id="rId915" Type="http://schemas.openxmlformats.org/officeDocument/2006/relationships/hyperlink" Target="https://raw.githubusercontent.com/ItsCryp7iC/Genshin-Image-Hosting/main/Weapons/MagicGuide.png" TargetMode="External"/><Relationship Id="rId347" Type="http://schemas.openxmlformats.org/officeDocument/2006/relationships/hyperlink" Target="https://raw.githubusercontent.com/ItsCryp7iC/Genshin-Image-Hosting/main/Characters/Keqing.png" TargetMode="External"/><Relationship Id="rId999" Type="http://schemas.openxmlformats.org/officeDocument/2006/relationships/hyperlink" Target="https://raw.githubusercontent.com/ItsCryp7iC/Genshin-Image-Hosting/main/Weapons/RoyalLongsword.png" TargetMode="External"/><Relationship Id="rId1100" Type="http://schemas.openxmlformats.org/officeDocument/2006/relationships/image" Target="../media/image548.png"/><Relationship Id="rId44" Type="http://schemas.openxmlformats.org/officeDocument/2006/relationships/image" Target="../media/image22.png"/><Relationship Id="rId554" Type="http://schemas.openxmlformats.org/officeDocument/2006/relationships/image" Target="../media/image275.png"/><Relationship Id="rId761" Type="http://schemas.openxmlformats.org/officeDocument/2006/relationships/hyperlink" Target="https://raw.githubusercontent.com/ItsCryp7iC/Genshin-Image-Hosting/main/Characters/Eula.png" TargetMode="External"/><Relationship Id="rId859" Type="http://schemas.openxmlformats.org/officeDocument/2006/relationships/hyperlink" Target="https://raw.githubusercontent.com/ItsCryp7iC/Genshin-Image-Hosting/main/Weapons/IronSting.png" TargetMode="External"/><Relationship Id="rId193" Type="http://schemas.openxmlformats.org/officeDocument/2006/relationships/hyperlink" Target="https://raw.githubusercontent.com/ItsCryp7iC/Genshin-Image-Hosting/main/WeaponMaterials/BorealWolfsMilkTooth.png" TargetMode="External"/><Relationship Id="rId207" Type="http://schemas.openxmlformats.org/officeDocument/2006/relationships/hyperlink" Target="https://raw.githubusercontent.com/ItsCryp7iC/Genshin-Image-Hosting/main/WeeklyBoss/SpiritLocketofBoreas.png" TargetMode="External"/><Relationship Id="rId414" Type="http://schemas.openxmlformats.org/officeDocument/2006/relationships/image" Target="../media/image207.png"/><Relationship Id="rId498" Type="http://schemas.openxmlformats.org/officeDocument/2006/relationships/hyperlink" Target="https://raw.githubusercontent.com/ItsCryp7iC/Genshin-Image-Hosting/main/WeaponMaterials/MistVeiledPrimoElixir.png" TargetMode="External"/><Relationship Id="rId621" Type="http://schemas.openxmlformats.org/officeDocument/2006/relationships/hyperlink" Target="https://raw.githubusercontent.com/ItsCryp7iC/Genshin-Image-Hosting/main/Characters/Ganyu.png" TargetMode="External"/><Relationship Id="rId1044" Type="http://schemas.openxmlformats.org/officeDocument/2006/relationships/image" Target="../media/image520.png"/><Relationship Id="rId260" Type="http://schemas.openxmlformats.org/officeDocument/2006/relationships/image" Target="../media/image130.png"/><Relationship Id="rId719" Type="http://schemas.openxmlformats.org/officeDocument/2006/relationships/hyperlink" Target="https://raw.githubusercontent.com/ItsCryp7iC/Genshin-Image-Hosting/main/WeaponMaterials/OasisGardensReminiscence.png" TargetMode="External"/><Relationship Id="rId926" Type="http://schemas.openxmlformats.org/officeDocument/2006/relationships/image" Target="../media/image461.png"/><Relationship Id="rId1111" Type="http://schemas.openxmlformats.org/officeDocument/2006/relationships/hyperlink" Target="https://raw.githubusercontent.com/ItsCryp7iC/Genshin-Image-Hosting/main/Weapons/Whiteblind.png" TargetMode="External"/><Relationship Id="rId55" Type="http://schemas.openxmlformats.org/officeDocument/2006/relationships/hyperlink" Target="https://raw.githubusercontent.com/ItsCryp7iC/Genshin-Image-Hosting/main/TalentBooks/PhilosophiesofIngenuity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raw.githubusercontent.com/ItsCryp7iC/Genshin-Image-Hosting/main/Weapons/CrescentPike.png" TargetMode="External"/><Relationship Id="rId772" Type="http://schemas.openxmlformats.org/officeDocument/2006/relationships/image" Target="../media/image384.png"/><Relationship Id="rId218" Type="http://schemas.openxmlformats.org/officeDocument/2006/relationships/image" Target="../media/image109.png"/><Relationship Id="rId425" Type="http://schemas.openxmlformats.org/officeDocument/2006/relationships/hyperlink" Target="https://raw.githubusercontent.com/ItsCryp7iC/Genshin-Image-Hosting/main/Gems/NagadusEmeraldFragment.png" TargetMode="External"/><Relationship Id="rId632" Type="http://schemas.openxmlformats.org/officeDocument/2006/relationships/image" Target="../media/image314.png"/><Relationship Id="rId1055" Type="http://schemas.openxmlformats.org/officeDocument/2006/relationships/hyperlink" Target="https://raw.githubusercontent.com/ItsCryp7iC/Genshin-Image-Hosting/main/Weapons/SwordofDescension.png" TargetMode="External"/><Relationship Id="rId271" Type="http://schemas.openxmlformats.org/officeDocument/2006/relationships/hyperlink" Target="https://raw.githubusercontent.com/ItsCryp7iC/Genshin-Image-Hosting/main/Gems/AgnidusAgateSilver.png" TargetMode="External"/><Relationship Id="rId937" Type="http://schemas.openxmlformats.org/officeDocument/2006/relationships/hyperlink" Target="https://raw.githubusercontent.com/ItsCryp7iC/Genshin-Image-Hosting/main/Characters/Xiao.png" TargetMode="External"/><Relationship Id="rId1122" Type="http://schemas.openxmlformats.org/officeDocument/2006/relationships/image" Target="../media/image559.png"/><Relationship Id="rId66" Type="http://schemas.openxmlformats.org/officeDocument/2006/relationships/image" Target="../media/image33.png"/><Relationship Id="rId131" Type="http://schemas.openxmlformats.org/officeDocument/2006/relationships/hyperlink" Target="https://raw.githubusercontent.com/ItsCryp7iC/Genshin-Image-Hosting/main/WeeklyBoss/LightlessSilkString.png" TargetMode="External"/><Relationship Id="rId369" Type="http://schemas.openxmlformats.org/officeDocument/2006/relationships/hyperlink" Target="https://raw.githubusercontent.com/ItsCryp7iC/Genshin-Image-Hosting/main/TalentBooks/PhilosophiesofTransience.png" TargetMode="External"/><Relationship Id="rId576" Type="http://schemas.openxmlformats.org/officeDocument/2006/relationships/image" Target="../media/image286.png"/><Relationship Id="rId783" Type="http://schemas.openxmlformats.org/officeDocument/2006/relationships/hyperlink" Target="https://raw.githubusercontent.com/ItsCryp7iC/Genshin-Image-Hosting/main/WeaponMaterials/ChapterofanAncientChord.png" TargetMode="External"/><Relationship Id="rId990" Type="http://schemas.openxmlformats.org/officeDocument/2006/relationships/image" Target="../media/image493.png"/><Relationship Id="rId229" Type="http://schemas.openxmlformats.org/officeDocument/2006/relationships/hyperlink" Target="https://raw.githubusercontent.com/ItsCryp7iC/Genshin-Image-Hosting/main/Gems/VayudaTurquoiseGemstone.png" TargetMode="External"/><Relationship Id="rId436" Type="http://schemas.openxmlformats.org/officeDocument/2006/relationships/image" Target="../media/image218.png"/><Relationship Id="rId643" Type="http://schemas.openxmlformats.org/officeDocument/2006/relationships/hyperlink" Target="https://raw.githubusercontent.com/ItsCryp7iC/Genshin-Image-Hosting/main/TalentBooks/TeachingsofIngenuity.png" TargetMode="External"/><Relationship Id="rId1066" Type="http://schemas.openxmlformats.org/officeDocument/2006/relationships/image" Target="../media/image531.png"/><Relationship Id="rId850" Type="http://schemas.openxmlformats.org/officeDocument/2006/relationships/image" Target="../media/image423.png"/><Relationship Id="rId948" Type="http://schemas.openxmlformats.org/officeDocument/2006/relationships/image" Target="../media/image472.png"/><Relationship Id="rId77" Type="http://schemas.openxmlformats.org/officeDocument/2006/relationships/hyperlink" Target="https://raw.githubusercontent.com/ItsCryp7iC/Genshin-Image-Hosting/main/Gems/BrilliantDiamondChunk.png" TargetMode="External"/><Relationship Id="rId282" Type="http://schemas.openxmlformats.org/officeDocument/2006/relationships/image" Target="../media/image141.png"/><Relationship Id="rId503" Type="http://schemas.openxmlformats.org/officeDocument/2006/relationships/hyperlink" Target="https://raw.githubusercontent.com/ItsCryp7iC/Genshin-Image-Hosting/main/WeeklyBoss/DakasBell.png" TargetMode="External"/><Relationship Id="rId587" Type="http://schemas.openxmlformats.org/officeDocument/2006/relationships/hyperlink" Target="https://raw.githubusercontent.com/ItsCryp7iC/Genshin-Image-Hosting/main/TalentBooks/PhilosophiesofAdmonition.png" TargetMode="External"/><Relationship Id="rId710" Type="http://schemas.openxmlformats.org/officeDocument/2006/relationships/image" Target="../media/image353.png"/><Relationship Id="rId808" Type="http://schemas.openxmlformats.org/officeDocument/2006/relationships/image" Target="../media/image402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447" Type="http://schemas.openxmlformats.org/officeDocument/2006/relationships/hyperlink" Target="https://raw.githubusercontent.com/ItsCryp7iC/Genshin-Image-Hosting/main/TalentBooks/PhilosophiesofPraxis.png" TargetMode="External"/><Relationship Id="rId794" Type="http://schemas.openxmlformats.org/officeDocument/2006/relationships/image" Target="../media/image395.png"/><Relationship Id="rId1077" Type="http://schemas.openxmlformats.org/officeDocument/2006/relationships/hyperlink" Target="https://raw.githubusercontent.com/ItsCryp7iC/Genshin-Image-Hosting/main/Weapons/TheUnforged.png" TargetMode="External"/><Relationship Id="rId654" Type="http://schemas.openxmlformats.org/officeDocument/2006/relationships/image" Target="../media/image325.png"/><Relationship Id="rId861" Type="http://schemas.openxmlformats.org/officeDocument/2006/relationships/hyperlink" Target="https://raw.githubusercontent.com/ItsCryp7iC/Genshin-Image-Hosting/main/Characters/Ningguang.png" TargetMode="External"/><Relationship Id="rId959" Type="http://schemas.openxmlformats.org/officeDocument/2006/relationships/hyperlink" Target="https://raw.githubusercontent.com/ItsCryp7iC/Genshin-Image-Hosting/main/Weapons/PolarStar.png" TargetMode="External"/><Relationship Id="rId293" Type="http://schemas.openxmlformats.org/officeDocument/2006/relationships/hyperlink" Target="https://raw.githubusercontent.com/ItsCryp7iC/Genshin-Image-Hosting/main/Weapons/BalladoftheBoundlessBlue.png" TargetMode="External"/><Relationship Id="rId307" Type="http://schemas.openxmlformats.org/officeDocument/2006/relationships/hyperlink" Target="https://raw.githubusercontent.com/ItsCryp7iC/Genshin-Image-Hosting/main/WeeklyBoss/DragonLordsCrown.png" TargetMode="External"/><Relationship Id="rId514" Type="http://schemas.openxmlformats.org/officeDocument/2006/relationships/hyperlink" Target="https://raw.githubusercontent.com/ItsCryp7iC/Genshin-Image-Hosting/main/WeeklyBoss/WorldspanFern.png" TargetMode="External"/><Relationship Id="rId721" Type="http://schemas.openxmlformats.org/officeDocument/2006/relationships/hyperlink" Target="https://raw.githubusercontent.com/ItsCryp7iC/Genshin-Image-Hosting/main/Characters/Beidou.png" TargetMode="External"/><Relationship Id="rId88" Type="http://schemas.openxmlformats.org/officeDocument/2006/relationships/image" Target="../media/image44.png"/><Relationship Id="rId153" Type="http://schemas.openxmlformats.org/officeDocument/2006/relationships/hyperlink" Target="https://raw.githubusercontent.com/ItsCryp7iC/Genshin-Image-Hosting/main/Weapons/AmenomaKageuchi.png" TargetMode="External"/><Relationship Id="rId360" Type="http://schemas.openxmlformats.org/officeDocument/2006/relationships/image" Target="../media/image180.png"/><Relationship Id="rId598" Type="http://schemas.openxmlformats.org/officeDocument/2006/relationships/image" Target="../media/image297.png"/><Relationship Id="rId819" Type="http://schemas.openxmlformats.org/officeDocument/2006/relationships/hyperlink" Target="https://raw.githubusercontent.com/ItsCryp7iC/Genshin-Image-Hosting/main/WeaponMaterials/EssenceofPureSacredDewdrop.png" TargetMode="External"/><Relationship Id="rId1004" Type="http://schemas.openxmlformats.org/officeDocument/2006/relationships/image" Target="../media/image500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665" Type="http://schemas.openxmlformats.org/officeDocument/2006/relationships/hyperlink" Target="https://raw.githubusercontent.com/ItsCryp7iC/Genshin-Image-Hosting/main/TalentBooks/GuidetoPraxis.png" TargetMode="External"/><Relationship Id="rId872" Type="http://schemas.openxmlformats.org/officeDocument/2006/relationships/image" Target="../media/image434.png"/><Relationship Id="rId1088" Type="http://schemas.openxmlformats.org/officeDocument/2006/relationships/image" Target="../media/image542.png"/><Relationship Id="rId15" Type="http://schemas.openxmlformats.org/officeDocument/2006/relationships/hyperlink" Target="https://raw.githubusercontent.com/ItsCryp7iC/Genshin-Image-Hosting/main/MonsterDrops/3Star/ForbiddenCurseScroll.png" TargetMode="External"/><Relationship Id="rId318" Type="http://schemas.openxmlformats.org/officeDocument/2006/relationships/image" Target="../media/image159.png"/><Relationship Id="rId525" Type="http://schemas.openxmlformats.org/officeDocument/2006/relationships/hyperlink" Target="https://raw.githubusercontent.com/ItsCryp7iC/Genshin-Image-Hosting/main/TalentBooks/GuidetoElegance.png" TargetMode="External"/><Relationship Id="rId732" Type="http://schemas.openxmlformats.org/officeDocument/2006/relationships/image" Target="../media/image364.png"/><Relationship Id="rId99" Type="http://schemas.openxmlformats.org/officeDocument/2006/relationships/hyperlink" Target="https://raw.githubusercontent.com/ItsCryp7iC/Genshin-Image-Hosting/main/LocalSpecialties/WindwheelAster.png" TargetMode="External"/><Relationship Id="rId164" Type="http://schemas.openxmlformats.org/officeDocument/2006/relationships/image" Target="../media/image82.png"/><Relationship Id="rId371" Type="http://schemas.openxmlformats.org/officeDocument/2006/relationships/hyperlink" Target="https://raw.githubusercontent.com/ItsCryp7iC/Genshin-Image-Hosting/main/LocalSpecialties/AmakumoFruit.png" TargetMode="External"/><Relationship Id="rId1015" Type="http://schemas.openxmlformats.org/officeDocument/2006/relationships/hyperlink" Target="https://raw.githubusercontent.com/ItsCryp7iC/Genshin-Image-Hosting/main/Weapons/SapwoodBlade.png" TargetMode="External"/><Relationship Id="rId469" Type="http://schemas.openxmlformats.org/officeDocument/2006/relationships/hyperlink" Target="https://raw.githubusercontent.com/ItsCryp7iC/Genshin-Image-Hosting/main/LocalSpecialties/Onikabuto.png" TargetMode="External"/><Relationship Id="rId676" Type="http://schemas.openxmlformats.org/officeDocument/2006/relationships/image" Target="../media/image336.png"/><Relationship Id="rId883" Type="http://schemas.openxmlformats.org/officeDocument/2006/relationships/hyperlink" Target="https://raw.githubusercontent.com/ItsCryp7iC/Genshin-Image-Hosting/main/Weapons/KingsSquire.png" TargetMode="External"/><Relationship Id="rId1099" Type="http://schemas.openxmlformats.org/officeDocument/2006/relationships/hyperlink" Target="https://raw.githubusercontent.com/ItsCryp7iC/Genshin-Image-Hosting/main/Weapons/UltimateOverlordsMegaMagicSword.png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raw.githubusercontent.com/ItsCryp7iC/Genshin-Image-Hosting/main/WorldBoss/JuvenileJade.png" TargetMode="External"/><Relationship Id="rId329" Type="http://schemas.openxmlformats.org/officeDocument/2006/relationships/hyperlink" Target="https://raw.githubusercontent.com/ItsCryp7iC/Genshin-Image-Hosting/main/WeeklyBoss/MudraoftheMaleficGeneral.png" TargetMode="External"/><Relationship Id="rId536" Type="http://schemas.openxmlformats.org/officeDocument/2006/relationships/image" Target="../media/image266.png"/><Relationship Id="rId175" Type="http://schemas.openxmlformats.org/officeDocument/2006/relationships/hyperlink" Target="https://raw.githubusercontent.com/ItsCryp7iC/Genshin-Image-Hosting/main/MonsterDrops/3Star/LieutenantsInsignia.png" TargetMode="External"/><Relationship Id="rId743" Type="http://schemas.openxmlformats.org/officeDocument/2006/relationships/hyperlink" Target="https://raw.githubusercontent.com/ItsCryp7iC/Genshin-Image-Hosting/main/Weapons/FavoniusLance.png" TargetMode="External"/><Relationship Id="rId950" Type="http://schemas.openxmlformats.org/officeDocument/2006/relationships/image" Target="../media/image473.png"/><Relationship Id="rId1026" Type="http://schemas.openxmlformats.org/officeDocument/2006/relationships/image" Target="../media/image511.png"/><Relationship Id="rId382" Type="http://schemas.openxmlformats.org/officeDocument/2006/relationships/image" Target="../media/image191.png"/><Relationship Id="rId603" Type="http://schemas.openxmlformats.org/officeDocument/2006/relationships/hyperlink" Target="https://raw.githubusercontent.com/ItsCryp7iC/Genshin-Image-Hosting/main/WeaponMaterials/NarukamisWisdom.png" TargetMode="External"/><Relationship Id="rId687" Type="http://schemas.openxmlformats.org/officeDocument/2006/relationships/hyperlink" Target="https://raw.githubusercontent.com/ItsCryp7iC/Genshin-Image-Hosting/main/Weapons/EndoftheLine.png" TargetMode="External"/><Relationship Id="rId810" Type="http://schemas.openxmlformats.org/officeDocument/2006/relationships/image" Target="../media/image403.png"/><Relationship Id="rId908" Type="http://schemas.openxmlformats.org/officeDocument/2006/relationships/image" Target="../media/image452.png"/><Relationship Id="rId242" Type="http://schemas.openxmlformats.org/officeDocument/2006/relationships/image" Target="../media/image121.png"/><Relationship Id="rId894" Type="http://schemas.openxmlformats.org/officeDocument/2006/relationships/image" Target="../media/image445.png"/><Relationship Id="rId37" Type="http://schemas.openxmlformats.org/officeDocument/2006/relationships/hyperlink" Target="https://raw.githubusercontent.com/ItsCryp7iC/Genshin-Image-Hosting/main/Misc/Mora.png" TargetMode="External"/><Relationship Id="rId102" Type="http://schemas.openxmlformats.org/officeDocument/2006/relationships/image" Target="../media/image51.png"/><Relationship Id="rId547" Type="http://schemas.openxmlformats.org/officeDocument/2006/relationships/hyperlink" Target="https://raw.githubusercontent.com/ItsCryp7iC/Genshin-Image-Hosting/main/WorldBoss/ArtificedSpareClockworkComponentCoppelius.png" TargetMode="External"/><Relationship Id="rId754" Type="http://schemas.openxmlformats.org/officeDocument/2006/relationships/image" Target="../media/image375.png"/><Relationship Id="rId961" Type="http://schemas.openxmlformats.org/officeDocument/2006/relationships/hyperlink" Target="https://raw.githubusercontent.com/ItsCryp7iC/Genshin-Image-Hosting/main/Weapons/PortablePowerSaw.png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93" Type="http://schemas.openxmlformats.org/officeDocument/2006/relationships/hyperlink" Target="https://raw.githubusercontent.com/ItsCryp7iC/Genshin-Image-Hosting/main/WeeklyBoss/TearsoftheCalamitousGod.png" TargetMode="External"/><Relationship Id="rId407" Type="http://schemas.openxmlformats.org/officeDocument/2006/relationships/hyperlink" Target="https://raw.githubusercontent.com/ItsCryp7iC/Genshin-Image-Hosting/main/Weapons/BlackcliffPole.png" TargetMode="External"/><Relationship Id="rId614" Type="http://schemas.openxmlformats.org/officeDocument/2006/relationships/image" Target="../media/image305.png"/><Relationship Id="rId821" Type="http://schemas.openxmlformats.org/officeDocument/2006/relationships/hyperlink" Target="https://raw.githubusercontent.com/ItsCryp7iC/Genshin-Image-Hosting/main/Characters/Baizhu.png" TargetMode="External"/><Relationship Id="rId1037" Type="http://schemas.openxmlformats.org/officeDocument/2006/relationships/hyperlink" Target="https://raw.githubusercontent.com/ItsCryp7iC/Genshin-Image-Hosting/main/Weapons/Slingshot.png" TargetMode="External"/><Relationship Id="rId253" Type="http://schemas.openxmlformats.org/officeDocument/2006/relationships/hyperlink" Target="https://raw.githubusercontent.com/ItsCryp7iC/Genshin-Image-Hosting/main/WeeklyBoss/GildedScale.png" TargetMode="External"/><Relationship Id="rId460" Type="http://schemas.openxmlformats.org/officeDocument/2006/relationships/image" Target="../media/image230.png"/><Relationship Id="rId698" Type="http://schemas.openxmlformats.org/officeDocument/2006/relationships/image" Target="../media/image347.png"/><Relationship Id="rId919" Type="http://schemas.openxmlformats.org/officeDocument/2006/relationships/hyperlink" Target="https://raw.githubusercontent.com/ItsCryp7iC/Genshin-Image-Hosting/main/Weapons/MailedFlower.png" TargetMode="External"/><Relationship Id="rId1090" Type="http://schemas.openxmlformats.org/officeDocument/2006/relationships/image" Target="../media/image543.png"/><Relationship Id="rId1104" Type="http://schemas.openxmlformats.org/officeDocument/2006/relationships/image" Target="../media/image550.png"/><Relationship Id="rId48" Type="http://schemas.openxmlformats.org/officeDocument/2006/relationships/image" Target="../media/image24.png"/><Relationship Id="rId113" Type="http://schemas.openxmlformats.org/officeDocument/2006/relationships/hyperlink" Target="https://raw.githubusercontent.com/ItsCryp7iC/Genshin-Image-Hosting/main/Gems/BrilliantDiamondFragment.p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7.png"/><Relationship Id="rId765" Type="http://schemas.openxmlformats.org/officeDocument/2006/relationships/hyperlink" Target="https://raw.githubusercontent.com/ItsCryp7iC/Genshin-Image-Hosting/main/WeaponMaterials/DreamofScorchingMight.png" TargetMode="External"/><Relationship Id="rId972" Type="http://schemas.openxmlformats.org/officeDocument/2006/relationships/image" Target="../media/image484.png"/><Relationship Id="rId197" Type="http://schemas.openxmlformats.org/officeDocument/2006/relationships/hyperlink" Target="https://raw.githubusercontent.com/ItsCryp7iC/Genshin-Image-Hosting/main/WorldBoss/WaterThatFailedToTranscend.png" TargetMode="External"/><Relationship Id="rId418" Type="http://schemas.openxmlformats.org/officeDocument/2006/relationships/image" Target="../media/image209.png"/><Relationship Id="rId625" Type="http://schemas.openxmlformats.org/officeDocument/2006/relationships/hyperlink" Target="https://raw.githubusercontent.com/ItsCryp7iC/Genshin-Image-Hosting/main/Gems/PrithivaTopazFragment.png" TargetMode="External"/><Relationship Id="rId832" Type="http://schemas.openxmlformats.org/officeDocument/2006/relationships/image" Target="../media/image414.png"/><Relationship Id="rId1048" Type="http://schemas.openxmlformats.org/officeDocument/2006/relationships/image" Target="../media/image522.png"/><Relationship Id="rId264" Type="http://schemas.openxmlformats.org/officeDocument/2006/relationships/image" Target="../media/image132.png"/><Relationship Id="rId471" Type="http://schemas.openxmlformats.org/officeDocument/2006/relationships/hyperlink" Target="https://raw.githubusercontent.com/ItsCryp7iC/Genshin-Image-Hosting/main/Gems/VajradaAmethystChunk.png" TargetMode="External"/><Relationship Id="rId1115" Type="http://schemas.openxmlformats.org/officeDocument/2006/relationships/hyperlink" Target="https://raw.githubusercontent.com/ItsCryp7iC/Genshin-Image-Hosting/main/Weapons/WhiteTassel.png" TargetMode="External"/><Relationship Id="rId59" Type="http://schemas.openxmlformats.org/officeDocument/2006/relationships/hyperlink" Target="https://raw.githubusercontent.com/ItsCryp7iC/Genshin-Image-Hosting/main/LocalSpecialties/SandGreasePupa.png" TargetMode="External"/><Relationship Id="rId124" Type="http://schemas.openxmlformats.org/officeDocument/2006/relationships/image" Target="../media/image62.png"/><Relationship Id="rId569" Type="http://schemas.openxmlformats.org/officeDocument/2006/relationships/hyperlink" Target="https://raw.githubusercontent.com/ItsCryp7iC/Genshin-Image-Hosting/main/Characters/Collei.png" TargetMode="External"/><Relationship Id="rId776" Type="http://schemas.openxmlformats.org/officeDocument/2006/relationships/image" Target="../media/image386.png"/><Relationship Id="rId983" Type="http://schemas.openxmlformats.org/officeDocument/2006/relationships/hyperlink" Target="https://raw.githubusercontent.com/ItsCryp7iC/Genshin-Image-Hosting/main/Weapons/RangeGauge.png" TargetMode="External"/><Relationship Id="rId331" Type="http://schemas.openxmlformats.org/officeDocument/2006/relationships/hyperlink" Target="https://raw.githubusercontent.com/ItsCryp7iC/Genshin-Image-Hosting/main/WorldBoss/SmolderingPearl.png" TargetMode="External"/><Relationship Id="rId429" Type="http://schemas.openxmlformats.org/officeDocument/2006/relationships/hyperlink" Target="https://raw.githubusercontent.com/ItsCryp7iC/Genshin-Image-Hosting/main/WeaponMaterials/RelicfromGuyun.png" TargetMode="External"/><Relationship Id="rId636" Type="http://schemas.openxmlformats.org/officeDocument/2006/relationships/image" Target="../media/image316.png"/><Relationship Id="rId1059" Type="http://schemas.openxmlformats.org/officeDocument/2006/relationships/hyperlink" Target="https://raw.githubusercontent.com/ItsCryp7iC/Genshin-Image-Hosting/main/Weapons/TalkingStick.png" TargetMode="External"/><Relationship Id="rId843" Type="http://schemas.openxmlformats.org/officeDocument/2006/relationships/hyperlink" Target="https://raw.githubusercontent.com/ItsCryp7iC/Genshin-Image-Hosting/main/WeaponMaterials/GoldenGobletofthePristineSea.png" TargetMode="External"/><Relationship Id="rId1126" Type="http://schemas.openxmlformats.org/officeDocument/2006/relationships/image" Target="../media/image561.png"/><Relationship Id="rId275" Type="http://schemas.openxmlformats.org/officeDocument/2006/relationships/hyperlink" Target="https://raw.githubusercontent.com/ItsCryp7iC/Genshin-Image-Hosting/main/Weapons/AThousandFloatingDreams.png" TargetMode="External"/><Relationship Id="rId482" Type="http://schemas.openxmlformats.org/officeDocument/2006/relationships/image" Target="../media/image241.png"/><Relationship Id="rId703" Type="http://schemas.openxmlformats.org/officeDocument/2006/relationships/hyperlink" Target="https://raw.githubusercontent.com/ItsCryp7iC/Genshin-Image-Hosting/main/Weapons/EverlastingMoonglow.png" TargetMode="External"/><Relationship Id="rId910" Type="http://schemas.openxmlformats.org/officeDocument/2006/relationships/image" Target="../media/image453.png"/><Relationship Id="rId135" Type="http://schemas.openxmlformats.org/officeDocument/2006/relationships/hyperlink" Target="https://raw.githubusercontent.com/ItsCryp7iC/Genshin-Image-Hosting/main/MonsterDrops/3Star/SpectralNucleus.png" TargetMode="External"/><Relationship Id="rId342" Type="http://schemas.openxmlformats.org/officeDocument/2006/relationships/image" Target="../media/image171.png"/><Relationship Id="rId787" Type="http://schemas.openxmlformats.org/officeDocument/2006/relationships/hyperlink" Target="https://raw.githubusercontent.com/ItsCryp7iC/Genshin-Image-Hosting/main/Weapons/FleuveCendreFerryman.png" TargetMode="External"/><Relationship Id="rId994" Type="http://schemas.openxmlformats.org/officeDocument/2006/relationships/image" Target="../media/image495.png"/><Relationship Id="rId202" Type="http://schemas.openxmlformats.org/officeDocument/2006/relationships/image" Target="../media/image101.png"/><Relationship Id="rId647" Type="http://schemas.openxmlformats.org/officeDocument/2006/relationships/hyperlink" Target="https://raw.githubusercontent.com/ItsCryp7iC/Genshin-Image-Hosting/main/Weapons/DragonsBane.png" TargetMode="External"/><Relationship Id="rId854" Type="http://schemas.openxmlformats.org/officeDocument/2006/relationships/image" Target="../media/image425.png"/><Relationship Id="rId286" Type="http://schemas.openxmlformats.org/officeDocument/2006/relationships/image" Target="../media/image143.png"/><Relationship Id="rId493" Type="http://schemas.openxmlformats.org/officeDocument/2006/relationships/image" Target="../media/image246.png"/><Relationship Id="rId507" Type="http://schemas.openxmlformats.org/officeDocument/2006/relationships/hyperlink" Target="https://raw.githubusercontent.com/ItsCryp7iC/Genshin-Image-Hosting/main/LocalSpecialties/Dendrobium.png" TargetMode="External"/><Relationship Id="rId714" Type="http://schemas.openxmlformats.org/officeDocument/2006/relationships/image" Target="../media/image355.png"/><Relationship Id="rId921" Type="http://schemas.openxmlformats.org/officeDocument/2006/relationships/hyperlink" Target="https://raw.githubusercontent.com/ItsCryp7iC/Genshin-Image-Hosting/main/Characters/Rosaria.png" TargetMode="External"/><Relationship Id="rId50" Type="http://schemas.openxmlformats.org/officeDocument/2006/relationships/image" Target="../media/image25.png"/><Relationship Id="rId146" Type="http://schemas.openxmlformats.org/officeDocument/2006/relationships/image" Target="../media/image73.png"/><Relationship Id="rId353" Type="http://schemas.openxmlformats.org/officeDocument/2006/relationships/hyperlink" Target="https://raw.githubusercontent.com/ItsCryp7iC/Genshin-Image-Hosting/main/MonsterDrops/1Star/TransoceanicPearl.png" TargetMode="External"/><Relationship Id="rId560" Type="http://schemas.openxmlformats.org/officeDocument/2006/relationships/image" Target="../media/image278.png"/><Relationship Id="rId798" Type="http://schemas.openxmlformats.org/officeDocument/2006/relationships/image" Target="../media/image397.png"/><Relationship Id="rId213" Type="http://schemas.openxmlformats.org/officeDocument/2006/relationships/hyperlink" Target="https://raw.githubusercontent.com/ItsCryp7iC/Genshin-Image-Hosting/main/TalentBooks/TeachingsofResistance.png" TargetMode="External"/><Relationship Id="rId420" Type="http://schemas.openxmlformats.org/officeDocument/2006/relationships/image" Target="../media/image210.png"/><Relationship Id="rId658" Type="http://schemas.openxmlformats.org/officeDocument/2006/relationships/image" Target="../media/image327.png"/><Relationship Id="rId865" Type="http://schemas.openxmlformats.org/officeDocument/2006/relationships/hyperlink" Target="https://raw.githubusercontent.com/ItsCryp7iC/Genshin-Image-Hosting/main/Characters/SangonomiyaKokomi.png" TargetMode="External"/><Relationship Id="rId1050" Type="http://schemas.openxmlformats.org/officeDocument/2006/relationships/image" Target="../media/image523.png"/><Relationship Id="rId297" Type="http://schemas.openxmlformats.org/officeDocument/2006/relationships/hyperlink" Target="https://raw.githubusercontent.com/ItsCryp7iC/Genshin-Image-Hosting/main/Characters/KamisatoAyaka.png" TargetMode="External"/><Relationship Id="rId518" Type="http://schemas.openxmlformats.org/officeDocument/2006/relationships/hyperlink" Target="https://raw.githubusercontent.com/ItsCryp7iC/Genshin-Image-Hosting/main/Weapons/Cloudforged.png" TargetMode="External"/><Relationship Id="rId725" Type="http://schemas.openxmlformats.org/officeDocument/2006/relationships/hyperlink" Target="https://raw.githubusercontent.com/ItsCryp7iC/Genshin-Image-Hosting/main/LocalSpecialties/SubdetectionUnit.png" TargetMode="External"/><Relationship Id="rId932" Type="http://schemas.openxmlformats.org/officeDocument/2006/relationships/image" Target="../media/image464.png"/><Relationship Id="rId157" Type="http://schemas.openxmlformats.org/officeDocument/2006/relationships/hyperlink" Target="https://raw.githubusercontent.com/ItsCryp7iC/Genshin-Image-Hosting/main/Characters/Clorinde.png" TargetMode="External"/><Relationship Id="rId364" Type="http://schemas.openxmlformats.org/officeDocument/2006/relationships/image" Target="../media/image182.png"/><Relationship Id="rId1008" Type="http://schemas.openxmlformats.org/officeDocument/2006/relationships/image" Target="../media/image502.png"/><Relationship Id="rId61" Type="http://schemas.openxmlformats.org/officeDocument/2006/relationships/hyperlink" Target="https://raw.githubusercontent.com/ItsCryp7iC/Genshin-Image-Hosting/main/Gems/NagadusEmeraldGemstone.png" TargetMode="External"/><Relationship Id="rId571" Type="http://schemas.openxmlformats.org/officeDocument/2006/relationships/hyperlink" Target="https://raw.githubusercontent.com/ItsCryp7iC/Genshin-Image-Hosting/main/LocalSpecialties/RukkhashavaMushrooms.png" TargetMode="External"/><Relationship Id="rId669" Type="http://schemas.openxmlformats.org/officeDocument/2006/relationships/hyperlink" Target="https://raw.githubusercontent.com/ItsCryp7iC/Genshin-Image-Hosting/main/Weapons/ElegyfortheEnd.png" TargetMode="External"/><Relationship Id="rId876" Type="http://schemas.openxmlformats.org/officeDocument/2006/relationships/image" Target="../media/image436.png"/><Relationship Id="rId19" Type="http://schemas.openxmlformats.org/officeDocument/2006/relationships/hyperlink" Target="https://raw.githubusercontent.com/ItsCryp7iC/Genshin-Image-Hosting/main/Gems/PrithivaTopazGemstone.png" TargetMode="External"/><Relationship Id="rId224" Type="http://schemas.openxmlformats.org/officeDocument/2006/relationships/image" Target="../media/image112.png"/><Relationship Id="rId431" Type="http://schemas.openxmlformats.org/officeDocument/2006/relationships/hyperlink" Target="https://raw.githubusercontent.com/ItsCryp7iC/Genshin-Image-Hosting/main/Characters/Lynette.png" TargetMode="External"/><Relationship Id="rId529" Type="http://schemas.openxmlformats.org/officeDocument/2006/relationships/hyperlink" Target="https://raw.githubusercontent.com/ItsCryp7iC/Genshin-Image-Hosting/main/Weapons/CompoundBow.png" TargetMode="External"/><Relationship Id="rId736" Type="http://schemas.openxmlformats.org/officeDocument/2006/relationships/image" Target="../media/image366.png"/><Relationship Id="rId1061" Type="http://schemas.openxmlformats.org/officeDocument/2006/relationships/hyperlink" Target="https://raw.githubusercontent.com/ItsCryp7iC/Genshin-Image-Hosting/main/Weapons/TheAlleyFlash.png" TargetMode="External"/><Relationship Id="rId168" Type="http://schemas.openxmlformats.org/officeDocument/2006/relationships/image" Target="../media/image84.png"/><Relationship Id="rId943" Type="http://schemas.openxmlformats.org/officeDocument/2006/relationships/hyperlink" Target="https://raw.githubusercontent.com/ItsCryp7iC/Genshin-Image-Hosting/main/Weapons/MistsplitterReforged.png" TargetMode="External"/><Relationship Id="rId1019" Type="http://schemas.openxmlformats.org/officeDocument/2006/relationships/hyperlink" Target="https://raw.githubusercontent.com/ItsCryp7iC/Genshin-Image-Hosting/main/Weapons/SerpentSpine.png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raw.githubusercontent.com/ItsCryp7iC/Genshin-Image-Hosting/main/WeeklyBoss/MoltenMoment.png" TargetMode="External"/><Relationship Id="rId582" Type="http://schemas.openxmlformats.org/officeDocument/2006/relationships/image" Target="../media/image289.png"/><Relationship Id="rId803" Type="http://schemas.openxmlformats.org/officeDocument/2006/relationships/hyperlink" Target="https://raw.githubusercontent.com/ItsCryp7iC/Genshin-Image-Hosting/main/Characters/Sayu.png" TargetMode="External"/><Relationship Id="rId3" Type="http://schemas.openxmlformats.org/officeDocument/2006/relationships/hyperlink" Target="https://raw.githubusercontent.com/ItsCryp7iC/Genshin-Image-Hosting/main/Characters/Albedo.png" TargetMode="External"/><Relationship Id="rId235" Type="http://schemas.openxmlformats.org/officeDocument/2006/relationships/hyperlink" Target="https://raw.githubusercontent.com/ItsCryp7iC/Genshin-Image-Hosting/main/MonsterDrops/1Star/WhopperflowerNectar.png" TargetMode="External"/><Relationship Id="rId442" Type="http://schemas.openxmlformats.org/officeDocument/2006/relationships/image" Target="../media/image221.png"/><Relationship Id="rId887" Type="http://schemas.openxmlformats.org/officeDocument/2006/relationships/hyperlink" Target="https://raw.githubusercontent.com/ItsCryp7iC/Genshin-Image-Hosting/main/Weapons/KitainCrossSpear.png" TargetMode="External"/><Relationship Id="rId1072" Type="http://schemas.openxmlformats.org/officeDocument/2006/relationships/image" Target="../media/image534.png"/><Relationship Id="rId302" Type="http://schemas.openxmlformats.org/officeDocument/2006/relationships/image" Target="../media/image151.png"/><Relationship Id="rId747" Type="http://schemas.openxmlformats.org/officeDocument/2006/relationships/hyperlink" Target="https://raw.githubusercontent.com/ItsCryp7iC/Genshin-Image-Hosting/main/Characters/Diluc.png" TargetMode="External"/><Relationship Id="rId954" Type="http://schemas.openxmlformats.org/officeDocument/2006/relationships/image" Target="../media/image475.png"/><Relationship Id="rId83" Type="http://schemas.openxmlformats.org/officeDocument/2006/relationships/hyperlink" Target="https://raw.githubusercontent.com/ItsCryp7iC/Genshin-Image-Hosting/main/Weapons/Akuoumaru.png" TargetMode="External"/><Relationship Id="rId179" Type="http://schemas.openxmlformats.org/officeDocument/2006/relationships/hyperlink" Target="https://raw.githubusercontent.com/ItsCryp7iC/Genshin-Image-Hosting/main/MonsterDrops/1Star/RecruitsInsignia.png" TargetMode="External"/><Relationship Id="rId386" Type="http://schemas.openxmlformats.org/officeDocument/2006/relationships/image" Target="../media/image193.png"/><Relationship Id="rId593" Type="http://schemas.openxmlformats.org/officeDocument/2006/relationships/hyperlink" Target="https://raw.githubusercontent.com/ItsCryp7iC/Genshin-Image-Hosting/main/WeaponMaterials/GoldenBranchofaDistantSea.png" TargetMode="External"/><Relationship Id="rId607" Type="http://schemas.openxmlformats.org/officeDocument/2006/relationships/hyperlink" Target="https://raw.githubusercontent.com/ItsCryp7iC/Genshin-Image-Hosting/main/WorldBoss/CloudseamScale.png" TargetMode="External"/><Relationship Id="rId814" Type="http://schemas.openxmlformats.org/officeDocument/2006/relationships/image" Target="../media/image405.png"/><Relationship Id="rId246" Type="http://schemas.openxmlformats.org/officeDocument/2006/relationships/image" Target="../media/image123.png"/><Relationship Id="rId453" Type="http://schemas.openxmlformats.org/officeDocument/2006/relationships/hyperlink" Target="https://raw.githubusercontent.com/ItsCryp7iC/Genshin-Image-Hosting/main/TalentBooks/GuidetoGold.png" TargetMode="External"/><Relationship Id="rId660" Type="http://schemas.openxmlformats.org/officeDocument/2006/relationships/image" Target="../media/image328.png"/><Relationship Id="rId898" Type="http://schemas.openxmlformats.org/officeDocument/2006/relationships/image" Target="../media/image447.png"/><Relationship Id="rId1083" Type="http://schemas.openxmlformats.org/officeDocument/2006/relationships/hyperlink" Target="https://raw.githubusercontent.com/ItsCryp7iC/Genshin-Image-Hosting/main/Weapons/ThrillingTalesofDragonSlayers.png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raw.githubusercontent.com/ItsCryp7iC/Genshin-Image-Hosting/main/MonsterDrops/1Star/FungalSpores.png" TargetMode="External"/><Relationship Id="rId758" Type="http://schemas.openxmlformats.org/officeDocument/2006/relationships/image" Target="../media/image377.png"/><Relationship Id="rId965" Type="http://schemas.openxmlformats.org/officeDocument/2006/relationships/hyperlink" Target="https://raw.githubusercontent.com/ItsCryp7iC/Genshin-Image-Hosting/main/Weapons/PrimordialJadeCutter.png" TargetMode="External"/><Relationship Id="rId10" Type="http://schemas.openxmlformats.org/officeDocument/2006/relationships/image" Target="../media/image5.png"/><Relationship Id="rId94" Type="http://schemas.openxmlformats.org/officeDocument/2006/relationships/image" Target="../media/image47.png"/><Relationship Id="rId397" Type="http://schemas.openxmlformats.org/officeDocument/2006/relationships/hyperlink" Target="https://raw.githubusercontent.com/ItsCryp7iC/Genshin-Image-Hosting/main/WorldBoss/RiftbornRegalia.png" TargetMode="External"/><Relationship Id="rId520" Type="http://schemas.openxmlformats.org/officeDocument/2006/relationships/hyperlink" Target="https://raw.githubusercontent.com/ItsCryp7iC/Genshin-Image-Hosting/main/WeaponMaterials/PieceofAerosiderite.png" TargetMode="External"/><Relationship Id="rId618" Type="http://schemas.openxmlformats.org/officeDocument/2006/relationships/image" Target="../media/image307.png"/><Relationship Id="rId825" Type="http://schemas.openxmlformats.org/officeDocument/2006/relationships/hyperlink" Target="https://raw.githubusercontent.com/ItsCryp7iC/Genshin-Image-Hosting/main/WeaponMaterials/BrokenGobletofthePristineSea.png" TargetMode="External"/><Relationship Id="rId257" Type="http://schemas.openxmlformats.org/officeDocument/2006/relationships/hyperlink" Target="https://raw.githubusercontent.com/ItsCryp7iC/Genshin-Image-Hosting/main/LocalSpecialties/SeaGanoderma.png" TargetMode="External"/><Relationship Id="rId464" Type="http://schemas.openxmlformats.org/officeDocument/2006/relationships/image" Target="../media/image232.png"/><Relationship Id="rId1010" Type="http://schemas.openxmlformats.org/officeDocument/2006/relationships/image" Target="../media/image503.png"/><Relationship Id="rId1094" Type="http://schemas.openxmlformats.org/officeDocument/2006/relationships/image" Target="../media/image545.png"/><Relationship Id="rId1108" Type="http://schemas.openxmlformats.org/officeDocument/2006/relationships/image" Target="../media/image552.png"/><Relationship Id="rId117" Type="http://schemas.openxmlformats.org/officeDocument/2006/relationships/hyperlink" Target="https://raw.githubusercontent.com/ItsCryp7iC/Genshin-Image-Hosting/main/Billets/polearm.png" TargetMode="External"/><Relationship Id="rId671" Type="http://schemas.openxmlformats.org/officeDocument/2006/relationships/hyperlink" Target="https://raw.githubusercontent.com/ItsCryp7iC/Genshin-Image-Hosting/main/WeaponMaterials/MaskoftheOneHorned.png" TargetMode="External"/><Relationship Id="rId769" Type="http://schemas.openxmlformats.org/officeDocument/2006/relationships/hyperlink" Target="https://raw.githubusercontent.com/ItsCryp7iC/Genshin-Image-Hosting/main/Weapons/FesteringDesire.png" TargetMode="External"/><Relationship Id="rId976" Type="http://schemas.openxmlformats.org/officeDocument/2006/relationships/image" Target="../media/image486.png"/><Relationship Id="rId324" Type="http://schemas.openxmlformats.org/officeDocument/2006/relationships/image" Target="../media/image162.png"/><Relationship Id="rId531" Type="http://schemas.openxmlformats.org/officeDocument/2006/relationships/hyperlink" Target="https://raw.githubusercontent.com/ItsCryp7iC/Genshin-Image-Hosting/main/WeaponMaterials/BitofAerosiderite.png" TargetMode="External"/><Relationship Id="rId629" Type="http://schemas.openxmlformats.org/officeDocument/2006/relationships/hyperlink" Target="https://raw.githubusercontent.com/ItsCryp7iC/Genshin-Image-Hosting/main/WeaponMaterials/NarukamisAffection.png" TargetMode="External"/><Relationship Id="rId836" Type="http://schemas.openxmlformats.org/officeDocument/2006/relationships/image" Target="../media/image416.png"/><Relationship Id="rId1021" Type="http://schemas.openxmlformats.org/officeDocument/2006/relationships/hyperlink" Target="https://raw.githubusercontent.com/ItsCryp7iC/Genshin-Image-Hosting/main/Weapons/SharpshootersOath.png" TargetMode="External"/><Relationship Id="rId1119" Type="http://schemas.openxmlformats.org/officeDocument/2006/relationships/hyperlink" Target="https://raw.githubusercontent.com/ItsCryp7iC/Genshin-Image-Hosting/main/Weapons/WineandSong.png" TargetMode="External"/><Relationship Id="rId903" Type="http://schemas.openxmlformats.org/officeDocument/2006/relationships/hyperlink" Target="https://raw.githubusercontent.com/ItsCryp7iC/Genshin-Image-Hosting/main/Weapons/LithicSpear.png" TargetMode="External"/><Relationship Id="rId32" Type="http://schemas.openxmlformats.org/officeDocument/2006/relationships/image" Target="../media/image16.png"/><Relationship Id="rId181" Type="http://schemas.openxmlformats.org/officeDocument/2006/relationships/hyperlink" Target="https://raw.githubusercontent.com/ItsCryp7iC/Genshin-Image-Hosting/main/TalentBooks/GuidetoResistance.png" TargetMode="External"/><Relationship Id="rId279" Type="http://schemas.openxmlformats.org/officeDocument/2006/relationships/hyperlink" Target="https://raw.githubusercontent.com/ItsCryp7iC/Genshin-Image-Hosting/main/Characters/Kaeya.png" TargetMode="External"/><Relationship Id="rId486" Type="http://schemas.openxmlformats.org/officeDocument/2006/relationships/image" Target="../media/image243.png"/><Relationship Id="rId693" Type="http://schemas.openxmlformats.org/officeDocument/2006/relationships/hyperlink" Target="https://raw.githubusercontent.com/ItsCryp7iC/Genshin-Image-Hosting/main/TalentBooks/GuidetoEquity.png" TargetMode="External"/><Relationship Id="rId139" Type="http://schemas.openxmlformats.org/officeDocument/2006/relationships/hyperlink" Target="https://raw.githubusercontent.com/ItsCryp7iC/Genshin-Image-Hosting/main/WeeklyBoss/TailofBoreas.png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raw.githubusercontent.com/ItsCryp7iC/Genshin-Image-Hosting/main/Characters/Amber.png" TargetMode="External"/><Relationship Id="rId760" Type="http://schemas.openxmlformats.org/officeDocument/2006/relationships/image" Target="../media/image378.png"/><Relationship Id="rId998" Type="http://schemas.openxmlformats.org/officeDocument/2006/relationships/image" Target="../media/image497.png"/><Relationship Id="rId206" Type="http://schemas.openxmlformats.org/officeDocument/2006/relationships/image" Target="../media/image103.png"/><Relationship Id="rId413" Type="http://schemas.openxmlformats.org/officeDocument/2006/relationships/hyperlink" Target="https://raw.githubusercontent.com/ItsCryp7iC/Genshin-Image-Hosting/main/WorldBoss/PerpetualCaliber.png" TargetMode="External"/><Relationship Id="rId858" Type="http://schemas.openxmlformats.org/officeDocument/2006/relationships/image" Target="../media/image427.png"/><Relationship Id="rId1043" Type="http://schemas.openxmlformats.org/officeDocument/2006/relationships/hyperlink" Target="https://raw.githubusercontent.com/ItsCryp7iC/Genshin-Image-Hosting/main/Weapons/SongofBrokenPines.png" TargetMode="External"/><Relationship Id="rId620" Type="http://schemas.openxmlformats.org/officeDocument/2006/relationships/image" Target="../media/image308.png"/><Relationship Id="rId718" Type="http://schemas.openxmlformats.org/officeDocument/2006/relationships/image" Target="../media/image357.png"/><Relationship Id="rId925" Type="http://schemas.openxmlformats.org/officeDocument/2006/relationships/hyperlink" Target="https://raw.githubusercontent.com/ItsCryp7iC/Genshin-Image-Hosting/main/Characters/Shenhe.png" TargetMode="External"/><Relationship Id="rId1110" Type="http://schemas.openxmlformats.org/officeDocument/2006/relationships/image" Target="../media/image553.png"/><Relationship Id="rId54" Type="http://schemas.openxmlformats.org/officeDocument/2006/relationships/image" Target="../media/image27.png"/><Relationship Id="rId270" Type="http://schemas.openxmlformats.org/officeDocument/2006/relationships/image" Target="../media/image135.png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raw.githubusercontent.com/ItsCryp7iC/Genshin-Image-Hosting/main/TalentBooks/TeachingsofLight.png" TargetMode="External"/><Relationship Id="rId782" Type="http://schemas.openxmlformats.org/officeDocument/2006/relationships/image" Target="../media/image389.png"/><Relationship Id="rId228" Type="http://schemas.openxmlformats.org/officeDocument/2006/relationships/image" Target="../media/image114.png"/><Relationship Id="rId435" Type="http://schemas.openxmlformats.org/officeDocument/2006/relationships/hyperlink" Target="https://raw.githubusercontent.com/ItsCryp7iC/Genshin-Image-Hosting/main/LocalSpecialties/LumidouceBell.png" TargetMode="External"/><Relationship Id="rId642" Type="http://schemas.openxmlformats.org/officeDocument/2006/relationships/image" Target="../media/image319.png"/><Relationship Id="rId1065" Type="http://schemas.openxmlformats.org/officeDocument/2006/relationships/hyperlink" Target="https://raw.githubusercontent.com/ItsCryp7iC/Genshin-Image-Hosting/main/Weapons/TheBlackSword.png" TargetMode="External"/><Relationship Id="rId502" Type="http://schemas.openxmlformats.org/officeDocument/2006/relationships/image" Target="../media/image250.png"/><Relationship Id="rId947" Type="http://schemas.openxmlformats.org/officeDocument/2006/relationships/hyperlink" Target="https://raw.githubusercontent.com/ItsCryp7iC/Genshin-Image-Hosting/main/Weapons/MitternachtsWaltz.png" TargetMode="External"/><Relationship Id="rId76" Type="http://schemas.openxmlformats.org/officeDocument/2006/relationships/image" Target="../media/image38.png"/><Relationship Id="rId807" Type="http://schemas.openxmlformats.org/officeDocument/2006/relationships/hyperlink" Target="https://raw.githubusercontent.com/ItsCryp7iC/Genshin-Image-Hosting/main/WeaponMaterials/SublimationofPureSacredDewdrop.png" TargetMode="External"/><Relationship Id="rId292" Type="http://schemas.openxmlformats.org/officeDocument/2006/relationships/image" Target="../media/image146.png"/><Relationship Id="rId597" Type="http://schemas.openxmlformats.org/officeDocument/2006/relationships/hyperlink" Target="https://raw.githubusercontent.com/ItsCryp7iC/Genshin-Image-Hosting/main/WeeklyBoss/SilkenFeather.png" TargetMode="External"/><Relationship Id="rId152" Type="http://schemas.openxmlformats.org/officeDocument/2006/relationships/image" Target="../media/image76.png"/><Relationship Id="rId457" Type="http://schemas.openxmlformats.org/officeDocument/2006/relationships/hyperlink" Target="https://raw.githubusercontent.com/ItsCryp7iC/Genshin-Image-Hosting/main/Weapons/BlackTassel.png" TargetMode="External"/><Relationship Id="rId1087" Type="http://schemas.openxmlformats.org/officeDocument/2006/relationships/hyperlink" Target="https://raw.githubusercontent.com/ItsCryp7iC/Genshin-Image-Hosting/main/Weapons/TidalShadow.png" TargetMode="External"/><Relationship Id="rId664" Type="http://schemas.openxmlformats.org/officeDocument/2006/relationships/image" Target="../media/image330.png"/><Relationship Id="rId871" Type="http://schemas.openxmlformats.org/officeDocument/2006/relationships/hyperlink" Target="https://raw.githubusercontent.com/ItsCryp7iC/Genshin-Image-Hosting/main/Weapons/KagurasVerity.png" TargetMode="External"/><Relationship Id="rId969" Type="http://schemas.openxmlformats.org/officeDocument/2006/relationships/hyperlink" Target="https://raw.githubusercontent.com/ItsCryp7iC/Genshin-Image-Hosting/main/Weapons/ProspectorsDrill.png" TargetMode="External"/><Relationship Id="rId317" Type="http://schemas.openxmlformats.org/officeDocument/2006/relationships/hyperlink" Target="https://raw.githubusercontent.com/ItsCryp7iC/Genshin-Image-Hosting/main/LocalSpecialties/NoctilucousJade.png" TargetMode="External"/><Relationship Id="rId524" Type="http://schemas.openxmlformats.org/officeDocument/2006/relationships/image" Target="../media/image260.png"/><Relationship Id="rId731" Type="http://schemas.openxmlformats.org/officeDocument/2006/relationships/hyperlink" Target="https://raw.githubusercontent.com/ItsCryp7iC/Genshin-Image-Hosting/main/Characters/Chongyun.png" TargetMode="External"/><Relationship Id="rId98" Type="http://schemas.openxmlformats.org/officeDocument/2006/relationships/image" Target="../media/image49.png"/><Relationship Id="rId829" Type="http://schemas.openxmlformats.org/officeDocument/2006/relationships/hyperlink" Target="https://raw.githubusercontent.com/ItsCryp7iC/Genshin-Image-Hosting/main/Weapons/Halberd.png" TargetMode="External"/><Relationship Id="rId1014" Type="http://schemas.openxmlformats.org/officeDocument/2006/relationships/image" Target="../media/image50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464"/>
  </webImageSrd>
  <webImageSrd>
    <address r:id="rId465"/>
    <blip r:id="rId466"/>
  </webImageSrd>
  <webImageSrd>
    <address r:id="rId467"/>
    <blip r:id="rId468"/>
  </webImageSrd>
  <webImageSrd>
    <address r:id="rId469"/>
    <blip r:id="rId470"/>
  </webImageSrd>
  <webImageSrd>
    <address r:id="rId471"/>
    <blip r:id="rId472"/>
  </webImageSrd>
  <webImageSrd>
    <address r:id="rId473"/>
    <blip r:id="rId474"/>
  </webImageSrd>
  <webImageSrd>
    <address r:id="rId475"/>
    <blip r:id="rId476"/>
  </webImageSrd>
  <webImageSrd>
    <address r:id="rId477"/>
    <blip r:id="rId478"/>
  </webImageSrd>
  <webImageSrd>
    <address r:id="rId479"/>
    <blip r:id="rId480"/>
  </webImageSrd>
  <webImageSrd>
    <address r:id="rId481"/>
    <blip r:id="rId482"/>
  </webImageSrd>
  <webImageSrd>
    <address r:id="rId483"/>
    <blip r:id="rId484"/>
  </webImageSrd>
  <webImageSrd>
    <address r:id="rId485"/>
    <blip r:id="rId486"/>
  </webImageSrd>
  <webImageSrd>
    <address r:id="rId487"/>
    <blip r:id="rId478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95"/>
  </webImageSrd>
  <webImageSrd>
    <address r:id="rId496"/>
    <blip r:id="rId497"/>
  </webImageSrd>
  <webImageSrd>
    <address r:id="rId498"/>
    <blip r:id="rId499"/>
  </webImageSrd>
  <webImageSrd>
    <address r:id="rId500"/>
    <blip r:id="rId478"/>
  </webImageSrd>
  <webImageSrd>
    <address r:id="rId501"/>
    <blip r:id="rId502"/>
  </webImageSrd>
  <webImageSrd>
    <address r:id="rId503"/>
    <blip r:id="rId504"/>
  </webImageSrd>
  <webImageSrd>
    <address r:id="rId505"/>
    <blip r:id="rId506"/>
  </webImageSrd>
  <webImageSrd>
    <address r:id="rId507"/>
    <blip r:id="rId508"/>
  </webImageSrd>
  <webImageSrd>
    <address r:id="rId509"/>
    <blip r:id="rId510"/>
  </webImageSrd>
  <webImageSrd>
    <address r:id="rId511"/>
    <blip r:id="rId512"/>
  </webImageSrd>
  <webImageSrd>
    <address r:id="rId513"/>
    <blip r:id="rId478"/>
  </webImageSrd>
  <webImageSrd>
    <address r:id="rId514"/>
    <blip r:id="rId515"/>
  </webImageSrd>
  <webImageSrd>
    <address r:id="rId516"/>
    <blip r:id="rId517"/>
  </webImageSrd>
  <webImageSrd>
    <address r:id="rId518"/>
    <blip r:id="rId519"/>
  </webImageSrd>
  <webImageSrd>
    <address r:id="rId520"/>
    <blip r:id="rId521"/>
  </webImageSrd>
  <webImageSrd>
    <address r:id="rId522"/>
    <blip r:id="rId478"/>
  </webImageSrd>
  <webImageSrd>
    <address r:id="rId523"/>
    <blip r:id="rId524"/>
  </webImageSrd>
  <webImageSrd>
    <address r:id="rId525"/>
    <blip r:id="rId526"/>
  </webImageSrd>
  <webImageSrd>
    <address r:id="rId527"/>
    <blip r:id="rId528"/>
  </webImageSrd>
  <webImageSrd>
    <address r:id="rId529"/>
    <blip r:id="rId530"/>
  </webImageSrd>
  <webImageSrd>
    <address r:id="rId531"/>
    <blip r:id="rId532"/>
  </webImageSrd>
  <webImageSrd>
    <address r:id="rId533"/>
    <blip r:id="rId534"/>
  </webImageSrd>
  <webImageSrd>
    <address r:id="rId535"/>
    <blip r:id="rId536"/>
  </webImageSrd>
  <webImageSrd>
    <address r:id="rId537"/>
    <blip r:id="rId538"/>
  </webImageSrd>
  <webImageSrd>
    <address r:id="rId539"/>
    <blip r:id="rId540"/>
  </webImageSrd>
  <webImageSrd>
    <address r:id="rId541"/>
    <blip r:id="rId542"/>
  </webImageSrd>
  <webImageSrd>
    <address r:id="rId543"/>
    <blip r:id="rId544"/>
  </webImageSrd>
  <webImageSrd>
    <address r:id="rId545"/>
    <blip r:id="rId546"/>
  </webImageSrd>
  <webImageSrd>
    <address r:id="rId547"/>
    <blip r:id="rId548"/>
  </webImageSrd>
  <webImageSrd>
    <address r:id="rId549"/>
    <blip r:id="rId550"/>
  </webImageSrd>
  <webImageSrd>
    <address r:id="rId551"/>
    <blip r:id="rId552"/>
  </webImageSrd>
  <webImageSrd>
    <address r:id="rId553"/>
    <blip r:id="rId554"/>
  </webImageSrd>
  <webImageSrd>
    <address r:id="rId555"/>
    <blip r:id="rId556"/>
  </webImageSrd>
  <webImageSrd>
    <address r:id="rId557"/>
    <blip r:id="rId558"/>
  </webImageSrd>
  <webImageSrd>
    <address r:id="rId559"/>
    <blip r:id="rId560"/>
  </webImageSrd>
  <webImageSrd>
    <address r:id="rId561"/>
    <blip r:id="rId562"/>
  </webImageSrd>
  <webImageSrd>
    <address r:id="rId563"/>
    <blip r:id="rId564"/>
  </webImageSrd>
  <webImageSrd>
    <address r:id="rId565"/>
    <blip r:id="rId566"/>
  </webImageSrd>
  <webImageSrd>
    <address r:id="rId567"/>
    <blip r:id="rId568"/>
  </webImageSrd>
  <webImageSrd>
    <address r:id="rId569"/>
    <blip r:id="rId570"/>
  </webImageSrd>
  <webImageSrd>
    <address r:id="rId571"/>
    <blip r:id="rId572"/>
  </webImageSrd>
  <webImageSrd>
    <address r:id="rId573"/>
    <blip r:id="rId574"/>
  </webImageSrd>
  <webImageSrd>
    <address r:id="rId575"/>
    <blip r:id="rId576"/>
  </webImageSrd>
  <webImageSrd>
    <address r:id="rId577"/>
    <blip r:id="rId578"/>
  </webImageSrd>
  <webImageSrd>
    <address r:id="rId579"/>
    <blip r:id="rId580"/>
  </webImageSrd>
  <webImageSrd>
    <address r:id="rId581"/>
    <blip r:id="rId582"/>
  </webImageSrd>
  <webImageSrd>
    <address r:id="rId583"/>
    <blip r:id="rId584"/>
  </webImageSrd>
  <webImageSrd>
    <address r:id="rId585"/>
    <blip r:id="rId586"/>
  </webImageSrd>
  <webImageSrd>
    <address r:id="rId587"/>
    <blip r:id="rId588"/>
  </webImageSrd>
  <webImageSrd>
    <address r:id="rId589"/>
    <blip r:id="rId590"/>
  </webImageSrd>
  <webImageSrd>
    <address r:id="rId591"/>
    <blip r:id="rId592"/>
  </webImageSrd>
  <webImageSrd>
    <address r:id="rId593"/>
    <blip r:id="rId594"/>
  </webImageSrd>
  <webImageSrd>
    <address r:id="rId595"/>
    <blip r:id="rId596"/>
  </webImageSrd>
  <webImageSrd>
    <address r:id="rId597"/>
    <blip r:id="rId598"/>
  </webImageSrd>
  <webImageSrd>
    <address r:id="rId599"/>
    <blip r:id="rId600"/>
  </webImageSrd>
  <webImageSrd>
    <address r:id="rId601"/>
    <blip r:id="rId602"/>
  </webImageSrd>
  <webImageSrd>
    <address r:id="rId603"/>
    <blip r:id="rId604"/>
  </webImageSrd>
  <webImageSrd>
    <address r:id="rId605"/>
    <blip r:id="rId606"/>
  </webImageSrd>
  <webImageSrd>
    <address r:id="rId607"/>
    <blip r:id="rId608"/>
  </webImageSrd>
  <webImageSrd>
    <address r:id="rId609"/>
    <blip r:id="rId610"/>
  </webImageSrd>
  <webImageSrd>
    <address r:id="rId611"/>
    <blip r:id="rId612"/>
  </webImageSrd>
  <webImageSrd>
    <address r:id="rId613"/>
    <blip r:id="rId614"/>
  </webImageSrd>
  <webImageSrd>
    <address r:id="rId615"/>
    <blip r:id="rId616"/>
  </webImageSrd>
  <webImageSrd>
    <address r:id="rId617"/>
    <blip r:id="rId618"/>
  </webImageSrd>
  <webImageSrd>
    <address r:id="rId619"/>
    <blip r:id="rId620"/>
  </webImageSrd>
  <webImageSrd>
    <address r:id="rId621"/>
    <blip r:id="rId622"/>
  </webImageSrd>
  <webImageSrd>
    <address r:id="rId623"/>
    <blip r:id="rId624"/>
  </webImageSrd>
  <webImageSrd>
    <address r:id="rId625"/>
    <blip r:id="rId626"/>
  </webImageSrd>
  <webImageSrd>
    <address r:id="rId627"/>
    <blip r:id="rId628"/>
  </webImageSrd>
  <webImageSrd>
    <address r:id="rId629"/>
    <blip r:id="rId630"/>
  </webImageSrd>
  <webImageSrd>
    <address r:id="rId631"/>
    <blip r:id="rId632"/>
  </webImageSrd>
  <webImageSrd>
    <address r:id="rId633"/>
    <blip r:id="rId634"/>
  </webImageSrd>
  <webImageSrd>
    <address r:id="rId635"/>
    <blip r:id="rId636"/>
  </webImageSrd>
  <webImageSrd>
    <address r:id="rId637"/>
    <blip r:id="rId638"/>
  </webImageSrd>
  <webImageSrd>
    <address r:id="rId639"/>
    <blip r:id="rId640"/>
  </webImageSrd>
  <webImageSrd>
    <address r:id="rId641"/>
    <blip r:id="rId642"/>
  </webImageSrd>
  <webImageSrd>
    <address r:id="rId643"/>
    <blip r:id="rId644"/>
  </webImageSrd>
  <webImageSrd>
    <address r:id="rId645"/>
    <blip r:id="rId646"/>
  </webImageSrd>
  <webImageSrd>
    <address r:id="rId647"/>
    <blip r:id="rId648"/>
  </webImageSrd>
  <webImageSrd>
    <address r:id="rId649"/>
    <blip r:id="rId650"/>
  </webImageSrd>
  <webImageSrd>
    <address r:id="rId651"/>
    <blip r:id="rId652"/>
  </webImageSrd>
  <webImageSrd>
    <address r:id="rId653"/>
    <blip r:id="rId654"/>
  </webImageSrd>
  <webImageSrd>
    <address r:id="rId655"/>
    <blip r:id="rId656"/>
  </webImageSrd>
  <webImageSrd>
    <address r:id="rId657"/>
    <blip r:id="rId658"/>
  </webImageSrd>
  <webImageSrd>
    <address r:id="rId659"/>
    <blip r:id="rId660"/>
  </webImageSrd>
  <webImageSrd>
    <address r:id="rId661"/>
    <blip r:id="rId662"/>
  </webImageSrd>
  <webImageSrd>
    <address r:id="rId663"/>
    <blip r:id="rId664"/>
  </webImageSrd>
  <webImageSrd>
    <address r:id="rId665"/>
    <blip r:id="rId666"/>
  </webImageSrd>
  <webImageSrd>
    <address r:id="rId667"/>
    <blip r:id="rId668"/>
  </webImageSrd>
  <webImageSrd>
    <address r:id="rId669"/>
    <blip r:id="rId670"/>
  </webImageSrd>
  <webImageSrd>
    <address r:id="rId671"/>
    <blip r:id="rId672"/>
  </webImageSrd>
  <webImageSrd>
    <address r:id="rId673"/>
    <blip r:id="rId674"/>
  </webImageSrd>
  <webImageSrd>
    <address r:id="rId675"/>
    <blip r:id="rId676"/>
  </webImageSrd>
  <webImageSrd>
    <address r:id="rId677"/>
    <blip r:id="rId678"/>
  </webImageSrd>
  <webImageSrd>
    <address r:id="rId679"/>
    <blip r:id="rId680"/>
  </webImageSrd>
  <webImageSrd>
    <address r:id="rId681"/>
    <blip r:id="rId682"/>
  </webImageSrd>
  <webImageSrd>
    <address r:id="rId683"/>
    <blip r:id="rId684"/>
  </webImageSrd>
  <webImageSrd>
    <address r:id="rId685"/>
    <blip r:id="rId686"/>
  </webImageSrd>
  <webImageSrd>
    <address r:id="rId687"/>
    <blip r:id="rId688"/>
  </webImageSrd>
  <webImageSrd>
    <address r:id="rId689"/>
    <blip r:id="rId690"/>
  </webImageSrd>
  <webImageSrd>
    <address r:id="rId691"/>
    <blip r:id="rId692"/>
  </webImageSrd>
  <webImageSrd>
    <address r:id="rId693"/>
    <blip r:id="rId694"/>
  </webImageSrd>
  <webImageSrd>
    <address r:id="rId695"/>
    <blip r:id="rId696"/>
  </webImageSrd>
  <webImageSrd>
    <address r:id="rId697"/>
    <blip r:id="rId698"/>
  </webImageSrd>
  <webImageSrd>
    <address r:id="rId699"/>
    <blip r:id="rId700"/>
  </webImageSrd>
  <webImageSrd>
    <address r:id="rId701"/>
    <blip r:id="rId702"/>
  </webImageSrd>
  <webImageSrd>
    <address r:id="rId703"/>
    <blip r:id="rId704"/>
  </webImageSrd>
  <webImageSrd>
    <address r:id="rId705"/>
    <blip r:id="rId706"/>
  </webImageSrd>
  <webImageSrd>
    <address r:id="rId707"/>
    <blip r:id="rId708"/>
  </webImageSrd>
  <webImageSrd>
    <address r:id="rId709"/>
    <blip r:id="rId710"/>
  </webImageSrd>
  <webImageSrd>
    <address r:id="rId711"/>
    <blip r:id="rId712"/>
  </webImageSrd>
  <webImageSrd>
    <address r:id="rId713"/>
    <blip r:id="rId714"/>
  </webImageSrd>
  <webImageSrd>
    <address r:id="rId715"/>
    <blip r:id="rId716"/>
  </webImageSrd>
  <webImageSrd>
    <address r:id="rId717"/>
    <blip r:id="rId718"/>
  </webImageSrd>
  <webImageSrd>
    <address r:id="rId719"/>
    <blip r:id="rId720"/>
  </webImageSrd>
  <webImageSrd>
    <address r:id="rId721"/>
    <blip r:id="rId722"/>
  </webImageSrd>
  <webImageSrd>
    <address r:id="rId723"/>
    <blip r:id="rId724"/>
  </webImageSrd>
  <webImageSrd>
    <address r:id="rId725"/>
    <blip r:id="rId726"/>
  </webImageSrd>
  <webImageSrd>
    <address r:id="rId727"/>
    <blip r:id="rId728"/>
  </webImageSrd>
  <webImageSrd>
    <address r:id="rId729"/>
    <blip r:id="rId730"/>
  </webImageSrd>
  <webImageSrd>
    <address r:id="rId731"/>
    <blip r:id="rId732"/>
  </webImageSrd>
  <webImageSrd>
    <address r:id="rId733"/>
    <blip r:id="rId734"/>
  </webImageSrd>
  <webImageSrd>
    <address r:id="rId735"/>
    <blip r:id="rId736"/>
  </webImageSrd>
  <webImageSrd>
    <address r:id="rId737"/>
    <blip r:id="rId738"/>
  </webImageSrd>
  <webImageSrd>
    <address r:id="rId739"/>
    <blip r:id="rId740"/>
  </webImageSrd>
  <webImageSrd>
    <address r:id="rId741"/>
    <blip r:id="rId742"/>
  </webImageSrd>
  <webImageSrd>
    <address r:id="rId743"/>
    <blip r:id="rId744"/>
  </webImageSrd>
  <webImageSrd>
    <address r:id="rId745"/>
    <blip r:id="rId746"/>
  </webImageSrd>
  <webImageSrd>
    <address r:id="rId747"/>
    <blip r:id="rId748"/>
  </webImageSrd>
  <webImageSrd>
    <address r:id="rId749"/>
    <blip r:id="rId750"/>
  </webImageSrd>
  <webImageSrd>
    <address r:id="rId751"/>
    <blip r:id="rId752"/>
  </webImageSrd>
  <webImageSrd>
    <address r:id="rId753"/>
    <blip r:id="rId754"/>
  </webImageSrd>
  <webImageSrd>
    <address r:id="rId755"/>
    <blip r:id="rId756"/>
  </webImageSrd>
  <webImageSrd>
    <address r:id="rId757"/>
    <blip r:id="rId758"/>
  </webImageSrd>
  <webImageSrd>
    <address r:id="rId759"/>
    <blip r:id="rId760"/>
  </webImageSrd>
  <webImageSrd>
    <address r:id="rId761"/>
    <blip r:id="rId762"/>
  </webImageSrd>
  <webImageSrd>
    <address r:id="rId763"/>
    <blip r:id="rId764"/>
  </webImageSrd>
  <webImageSrd>
    <address r:id="rId765"/>
    <blip r:id="rId766"/>
  </webImageSrd>
  <webImageSrd>
    <address r:id="rId767"/>
    <blip r:id="rId768"/>
  </webImageSrd>
  <webImageSrd>
    <address r:id="rId769"/>
    <blip r:id="rId770"/>
  </webImageSrd>
  <webImageSrd>
    <address r:id="rId771"/>
    <blip r:id="rId772"/>
  </webImageSrd>
  <webImageSrd>
    <address r:id="rId773"/>
    <blip r:id="rId774"/>
  </webImageSrd>
  <webImageSrd>
    <address r:id="rId775"/>
    <blip r:id="rId776"/>
  </webImageSrd>
  <webImageSrd>
    <address r:id="rId777"/>
    <blip r:id="rId778"/>
  </webImageSrd>
  <webImageSrd>
    <address r:id="rId779"/>
    <blip r:id="rId780"/>
  </webImageSrd>
  <webImageSrd>
    <address r:id="rId781"/>
    <blip r:id="rId782"/>
  </webImageSrd>
  <webImageSrd>
    <address r:id="rId783"/>
    <blip r:id="rId784"/>
  </webImageSrd>
  <webImageSrd>
    <address r:id="rId785"/>
    <blip r:id="rId786"/>
  </webImageSrd>
  <webImageSrd>
    <address r:id="rId787"/>
    <blip r:id="rId788"/>
  </webImageSrd>
  <webImageSrd>
    <address r:id="rId789"/>
    <blip r:id="rId790"/>
  </webImageSrd>
  <webImageSrd>
    <address r:id="rId791"/>
    <blip r:id="rId792"/>
  </webImageSrd>
  <webImageSrd>
    <address r:id="rId793"/>
    <blip r:id="rId794"/>
  </webImageSrd>
  <webImageSrd>
    <address r:id="rId795"/>
    <blip r:id="rId796"/>
  </webImageSrd>
  <webImageSrd>
    <address r:id="rId797"/>
    <blip r:id="rId798"/>
  </webImageSrd>
  <webImageSrd>
    <address r:id="rId799"/>
    <blip r:id="rId800"/>
  </webImageSrd>
  <webImageSrd>
    <address r:id="rId801"/>
    <blip r:id="rId802"/>
  </webImageSrd>
  <webImageSrd>
    <address r:id="rId803"/>
    <blip r:id="rId804"/>
  </webImageSrd>
  <webImageSrd>
    <address r:id="rId805"/>
    <blip r:id="rId806"/>
  </webImageSrd>
  <webImageSrd>
    <address r:id="rId807"/>
    <blip r:id="rId808"/>
  </webImageSrd>
  <webImageSrd>
    <address r:id="rId809"/>
    <blip r:id="rId810"/>
  </webImageSrd>
  <webImageSrd>
    <address r:id="rId811"/>
    <blip r:id="rId812"/>
  </webImageSrd>
  <webImageSrd>
    <address r:id="rId813"/>
    <blip r:id="rId814"/>
  </webImageSrd>
  <webImageSrd>
    <address r:id="rId815"/>
    <blip r:id="rId816"/>
  </webImageSrd>
  <webImageSrd>
    <address r:id="rId817"/>
    <blip r:id="rId818"/>
  </webImageSrd>
  <webImageSrd>
    <address r:id="rId819"/>
    <blip r:id="rId820"/>
  </webImageSrd>
  <webImageSrd>
    <address r:id="rId821"/>
    <blip r:id="rId822"/>
  </webImageSrd>
  <webImageSrd>
    <address r:id="rId823"/>
    <blip r:id="rId824"/>
  </webImageSrd>
  <webImageSrd>
    <address r:id="rId825"/>
    <blip r:id="rId826"/>
  </webImageSrd>
  <webImageSrd>
    <address r:id="rId827"/>
    <blip r:id="rId828"/>
  </webImageSrd>
  <webImageSrd>
    <address r:id="rId829"/>
    <blip r:id="rId830"/>
  </webImageSrd>
  <webImageSrd>
    <address r:id="rId831"/>
    <blip r:id="rId832"/>
  </webImageSrd>
  <webImageSrd>
    <address r:id="rId833"/>
    <blip r:id="rId834"/>
  </webImageSrd>
  <webImageSrd>
    <address r:id="rId835"/>
    <blip r:id="rId836"/>
  </webImageSrd>
  <webImageSrd>
    <address r:id="rId837"/>
    <blip r:id="rId838"/>
  </webImageSrd>
  <webImageSrd>
    <address r:id="rId839"/>
    <blip r:id="rId840"/>
  </webImageSrd>
  <webImageSrd>
    <address r:id="rId841"/>
    <blip r:id="rId842"/>
  </webImageSrd>
  <webImageSrd>
    <address r:id="rId843"/>
    <blip r:id="rId844"/>
  </webImageSrd>
  <webImageSrd>
    <address r:id="rId845"/>
    <blip r:id="rId846"/>
  </webImageSrd>
  <webImageSrd>
    <address r:id="rId847"/>
    <blip r:id="rId848"/>
  </webImageSrd>
  <webImageSrd>
    <address r:id="rId849"/>
    <blip r:id="rId850"/>
  </webImageSrd>
  <webImageSrd>
    <address r:id="rId851"/>
    <blip r:id="rId852"/>
  </webImageSrd>
  <webImageSrd>
    <address r:id="rId853"/>
    <blip r:id="rId854"/>
  </webImageSrd>
  <webImageSrd>
    <address r:id="rId855"/>
    <blip r:id="rId856"/>
  </webImageSrd>
  <webImageSrd>
    <address r:id="rId857"/>
    <blip r:id="rId858"/>
  </webImageSrd>
  <webImageSrd>
    <address r:id="rId859"/>
    <blip r:id="rId860"/>
  </webImageSrd>
  <webImageSrd>
    <address r:id="rId861"/>
    <blip r:id="rId862"/>
  </webImageSrd>
  <webImageSrd>
    <address r:id="rId863"/>
    <blip r:id="rId864"/>
  </webImageSrd>
  <webImageSrd>
    <address r:id="rId865"/>
    <blip r:id="rId866"/>
  </webImageSrd>
  <webImageSrd>
    <address r:id="rId867"/>
    <blip r:id="rId868"/>
  </webImageSrd>
  <webImageSrd>
    <address r:id="rId869"/>
    <blip r:id="rId870"/>
  </webImageSrd>
  <webImageSrd>
    <address r:id="rId871"/>
    <blip r:id="rId872"/>
  </webImageSrd>
  <webImageSrd>
    <address r:id="rId873"/>
    <blip r:id="rId874"/>
  </webImageSrd>
  <webImageSrd>
    <address r:id="rId875"/>
    <blip r:id="rId876"/>
  </webImageSrd>
  <webImageSrd>
    <address r:id="rId877"/>
    <blip r:id="rId878"/>
  </webImageSrd>
  <webImageSrd>
    <address r:id="rId879"/>
    <blip r:id="rId880"/>
  </webImageSrd>
  <webImageSrd>
    <address r:id="rId881"/>
    <blip r:id="rId882"/>
  </webImageSrd>
  <webImageSrd>
    <address r:id="rId883"/>
    <blip r:id="rId884"/>
  </webImageSrd>
  <webImageSrd>
    <address r:id="rId885"/>
    <blip r:id="rId886"/>
  </webImageSrd>
  <webImageSrd>
    <address r:id="rId887"/>
    <blip r:id="rId888"/>
  </webImageSrd>
  <webImageSrd>
    <address r:id="rId889"/>
    <blip r:id="rId890"/>
  </webImageSrd>
  <webImageSrd>
    <address r:id="rId891"/>
    <blip r:id="rId892"/>
  </webImageSrd>
  <webImageSrd>
    <address r:id="rId893"/>
    <blip r:id="rId894"/>
  </webImageSrd>
  <webImageSrd>
    <address r:id="rId895"/>
    <blip r:id="rId896"/>
  </webImageSrd>
  <webImageSrd>
    <address r:id="rId897"/>
    <blip r:id="rId898"/>
  </webImageSrd>
  <webImageSrd>
    <address r:id="rId899"/>
    <blip r:id="rId900"/>
  </webImageSrd>
  <webImageSrd>
    <address r:id="rId901"/>
    <blip r:id="rId902"/>
  </webImageSrd>
  <webImageSrd>
    <address r:id="rId903"/>
    <blip r:id="rId904"/>
  </webImageSrd>
  <webImageSrd>
    <address r:id="rId905"/>
    <blip r:id="rId906"/>
  </webImageSrd>
  <webImageSrd>
    <address r:id="rId907"/>
    <blip r:id="rId908"/>
  </webImageSrd>
  <webImageSrd>
    <address r:id="rId909"/>
    <blip r:id="rId910"/>
  </webImageSrd>
  <webImageSrd>
    <address r:id="rId911"/>
    <blip r:id="rId912"/>
  </webImageSrd>
  <webImageSrd>
    <address r:id="rId913"/>
    <blip r:id="rId914"/>
  </webImageSrd>
  <webImageSrd>
    <address r:id="rId915"/>
    <blip r:id="rId916"/>
  </webImageSrd>
  <webImageSrd>
    <address r:id="rId917"/>
    <blip r:id="rId918"/>
  </webImageSrd>
  <webImageSrd>
    <address r:id="rId919"/>
    <blip r:id="rId920"/>
  </webImageSrd>
  <webImageSrd>
    <address r:id="rId921"/>
    <blip r:id="rId922"/>
  </webImageSrd>
  <webImageSrd>
    <address r:id="rId923"/>
    <blip r:id="rId924"/>
  </webImageSrd>
  <webImageSrd>
    <address r:id="rId925"/>
    <blip r:id="rId926"/>
  </webImageSrd>
  <webImageSrd>
    <address r:id="rId927"/>
    <blip r:id="rId928"/>
  </webImageSrd>
  <webImageSrd>
    <address r:id="rId929"/>
    <blip r:id="rId930"/>
  </webImageSrd>
  <webImageSrd>
    <address r:id="rId931"/>
    <blip r:id="rId932"/>
  </webImageSrd>
  <webImageSrd>
    <address r:id="rId933"/>
    <blip r:id="rId934"/>
  </webImageSrd>
  <webImageSrd>
    <address r:id="rId935"/>
    <blip r:id="rId936"/>
  </webImageSrd>
  <webImageSrd>
    <address r:id="rId937"/>
    <blip r:id="rId938"/>
  </webImageSrd>
  <webImageSrd>
    <address r:id="rId939"/>
    <blip r:id="rId940"/>
  </webImageSrd>
  <webImageSrd>
    <address r:id="rId941"/>
    <blip r:id="rId942"/>
  </webImageSrd>
  <webImageSrd>
    <address r:id="rId943"/>
    <blip r:id="rId944"/>
  </webImageSrd>
  <webImageSrd>
    <address r:id="rId945"/>
    <blip r:id="rId946"/>
  </webImageSrd>
  <webImageSrd>
    <address r:id="rId947"/>
    <blip r:id="rId948"/>
  </webImageSrd>
  <webImageSrd>
    <address r:id="rId949"/>
    <blip r:id="rId950"/>
  </webImageSrd>
  <webImageSrd>
    <address r:id="rId951"/>
    <blip r:id="rId952"/>
  </webImageSrd>
  <webImageSrd>
    <address r:id="rId953"/>
    <blip r:id="rId954"/>
  </webImageSrd>
  <webImageSrd>
    <address r:id="rId955"/>
    <blip r:id="rId956"/>
  </webImageSrd>
  <webImageSrd>
    <address r:id="rId957"/>
    <blip r:id="rId958"/>
  </webImageSrd>
  <webImageSrd>
    <address r:id="rId959"/>
    <blip r:id="rId960"/>
  </webImageSrd>
  <webImageSrd>
    <address r:id="rId961"/>
    <blip r:id="rId962"/>
  </webImageSrd>
  <webImageSrd>
    <address r:id="rId963"/>
    <blip r:id="rId964"/>
  </webImageSrd>
  <webImageSrd>
    <address r:id="rId965"/>
    <blip r:id="rId966"/>
  </webImageSrd>
  <webImageSrd>
    <address r:id="rId967"/>
    <blip r:id="rId968"/>
  </webImageSrd>
  <webImageSrd>
    <address r:id="rId969"/>
    <blip r:id="rId970"/>
  </webImageSrd>
  <webImageSrd>
    <address r:id="rId971"/>
    <blip r:id="rId972"/>
  </webImageSrd>
  <webImageSrd>
    <address r:id="rId973"/>
    <blip r:id="rId974"/>
  </webImageSrd>
  <webImageSrd>
    <address r:id="rId975"/>
    <blip r:id="rId976"/>
  </webImageSrd>
  <webImageSrd>
    <address r:id="rId977"/>
    <blip r:id="rId978"/>
  </webImageSrd>
  <webImageSrd>
    <address r:id="rId979"/>
    <blip r:id="rId980"/>
  </webImageSrd>
  <webImageSrd>
    <address r:id="rId981"/>
    <blip r:id="rId982"/>
  </webImageSrd>
  <webImageSrd>
    <address r:id="rId983"/>
    <blip r:id="rId984"/>
  </webImageSrd>
  <webImageSrd>
    <address r:id="rId985"/>
    <blip r:id="rId986"/>
  </webImageSrd>
  <webImageSrd>
    <address r:id="rId987"/>
    <blip r:id="rId988"/>
  </webImageSrd>
  <webImageSrd>
    <address r:id="rId989"/>
    <blip r:id="rId990"/>
  </webImageSrd>
  <webImageSrd>
    <address r:id="rId991"/>
    <blip r:id="rId992"/>
  </webImageSrd>
  <webImageSrd>
    <address r:id="rId993"/>
    <blip r:id="rId994"/>
  </webImageSrd>
  <webImageSrd>
    <address r:id="rId995"/>
    <blip r:id="rId996"/>
  </webImageSrd>
  <webImageSrd>
    <address r:id="rId997"/>
    <blip r:id="rId998"/>
  </webImageSrd>
  <webImageSrd>
    <address r:id="rId999"/>
    <blip r:id="rId1000"/>
  </webImageSrd>
  <webImageSrd>
    <address r:id="rId1001"/>
    <blip r:id="rId1002"/>
  </webImageSrd>
  <webImageSrd>
    <address r:id="rId1003"/>
    <blip r:id="rId1004"/>
  </webImageSrd>
  <webImageSrd>
    <address r:id="rId1005"/>
    <blip r:id="rId1006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  <webImageSrd>
    <address r:id="rId1125"/>
    <blip r:id="rId1126"/>
  </webImageSrd>
</webImagesSrd>
</file>

<file path=xl/richData/rdrichvalue.xml><?xml version="1.0" encoding="utf-8"?>
<rvData xmlns="http://schemas.microsoft.com/office/spreadsheetml/2017/richdata" count="893">
  <rv s="0">
    <v>0</v>
    <v>5</v>
    <v>0</v>
    <v>0</v>
    <v>anemo</v>
  </rv>
  <rv s="1">
    <v>11</v>
    <v>1</v>
  </rv>
  <rv s="2">
    <v>0</v>
    <v>1</v>
    <v>0</v>
    <v>0</v>
    <v>HerosWit</v>
  </rv>
  <rv s="2">
    <v>1</v>
    <v>1</v>
    <v>0</v>
    <v>0</v>
    <v>Albedo</v>
  </rv>
  <rv s="2">
    <v>2</v>
    <v>4</v>
    <v>0</v>
    <v>0</v>
    <v>sword</v>
  </rv>
  <rv s="2">
    <v>3</v>
    <v>4</v>
    <v>0</v>
    <v>0</v>
    <v>geo</v>
  </rv>
  <rv s="2">
    <v>4</v>
    <v>4</v>
    <v>0</v>
    <v>0</v>
    <v>BasaltPillar</v>
  </rv>
  <rv s="2">
    <v>5</v>
    <v>4</v>
    <v>0</v>
    <v>0</v>
    <v>TuskofMonocerosCaeli</v>
  </rv>
  <rv s="2">
    <v>6</v>
    <v>4</v>
    <v>0</v>
    <v>0</v>
    <v>PhilosophiesofBallad</v>
  </rv>
  <rv s="2">
    <v>7</v>
    <v>4</v>
    <v>0</v>
    <v>0</v>
    <v>ForbiddenCurseScroll</v>
  </rv>
  <rv s="2">
    <v>8</v>
    <v>4</v>
    <v>0</v>
    <v>0</v>
    <v>Cecilia</v>
  </rv>
  <rv s="2">
    <v>9</v>
    <v>4</v>
    <v>0</v>
    <v>0</v>
    <v>PrithivaTopazGemstone</v>
  </rv>
  <rv s="2">
    <v>10</v>
    <v>1</v>
    <v>0</v>
    <v>0</v>
    <v>HurricaneSeed</v>
  </rv>
  <rv s="2">
    <v>11</v>
    <v>1</v>
    <v>0</v>
    <v>0</v>
    <v>DvalinsPlume</v>
  </rv>
  <rv s="2">
    <v>12</v>
    <v>1</v>
    <v>0</v>
    <v>0</v>
    <v>SlimeConcentrate</v>
  </rv>
  <rv s="2">
    <v>13</v>
    <v>1</v>
    <v>0</v>
    <v>0</v>
    <v>SlimeSecretions</v>
  </rv>
  <rv s="2">
    <v>14</v>
    <v>1</v>
    <v>0</v>
    <v>0</v>
    <v>SlimeCondensate</v>
  </rv>
  <rv s="2">
    <v>15</v>
    <v>1</v>
    <v>0</v>
    <v>0</v>
    <v>PhilosophiesofFreedom</v>
  </rv>
  <rv s="2">
    <v>16</v>
    <v>1</v>
    <v>0</v>
    <v>0</v>
    <v>Wolfhook</v>
  </rv>
  <rv s="2">
    <v>17</v>
    <v>1</v>
    <v>0</v>
    <v>0</v>
    <v>BrilliantDiamondGemstone</v>
  </rv>
  <rv s="2">
    <v>18</v>
    <v>1</v>
    <v>0</v>
    <v>0</v>
    <v>Mora</v>
  </rv>
  <rv s="2">
    <v>2</v>
    <v>1</v>
    <v>0</v>
    <v>0</v>
    <v>sword</v>
  </rv>
  <rv s="2">
    <v>19</v>
    <v>1</v>
    <v>0</v>
    <v>0</v>
    <v>anemo</v>
  </rv>
  <rv s="2">
    <v>20</v>
    <v>1</v>
    <v>0</v>
    <v>0</v>
    <v>Absolution</v>
  </rv>
  <rv s="2">
    <v>21</v>
    <v>1</v>
    <v>0</v>
    <v>0</v>
    <v>TileofDecarabiansTower</v>
  </rv>
  <rv s="2">
    <v>22</v>
    <v>1</v>
    <v>0</v>
    <v>0</v>
    <v>MysticEnhancementOre</v>
  </rv>
  <rv s="2">
    <v>23</v>
    <v>1</v>
    <v>0</v>
    <v>0</v>
    <v>Alhaitham</v>
  </rv>
  <rv s="2">
    <v>24</v>
    <v>4</v>
    <v>0</v>
    <v>0</v>
    <v>dendro</v>
  </rv>
  <rv s="2">
    <v>25</v>
    <v>4</v>
    <v>0</v>
    <v>0</v>
    <v>PseudoStamens</v>
  </rv>
  <rv s="2">
    <v>26</v>
    <v>4</v>
    <v>0</v>
    <v>0</v>
    <v>MirrorofMushin</v>
  </rv>
  <rv s="2">
    <v>27</v>
    <v>4</v>
    <v>0</v>
    <v>0</v>
    <v>PhilosophiesofIngenuity</v>
  </rv>
  <rv s="2">
    <v>28</v>
    <v>4</v>
    <v>0</v>
    <v>0</v>
    <v>RichRedBrocade</v>
  </rv>
  <rv s="2">
    <v>29</v>
    <v>4</v>
    <v>0</v>
    <v>0</v>
    <v>SandGreasePupa</v>
  </rv>
  <rv s="2">
    <v>30</v>
    <v>4</v>
    <v>0</v>
    <v>0</v>
    <v>NagadusEmeraldGemstone</v>
  </rv>
  <rv s="2">
    <v>31</v>
    <v>1</v>
    <v>0</v>
    <v>0</v>
    <v>LightningPrism</v>
  </rv>
  <rv s="2">
    <v>32</v>
    <v>1</v>
    <v>0</v>
    <v>0</v>
    <v>DvalinsClaw</v>
  </rv>
  <rv s="2">
    <v>33</v>
    <v>1</v>
    <v>0</v>
    <v>0</v>
    <v>OminousMask</v>
  </rv>
  <rv s="2">
    <v>34</v>
    <v>1</v>
    <v>0</v>
    <v>0</v>
    <v>StainedMask</v>
  </rv>
  <rv s="2">
    <v>35</v>
    <v>1</v>
    <v>0</v>
    <v>0</v>
    <v>DamagedMask</v>
  </rv>
  <rv s="2">
    <v>36</v>
    <v>1</v>
    <v>0</v>
    <v>0</v>
    <v>GuidetoFreedom</v>
  </rv>
  <rv s="2">
    <v>37</v>
    <v>1</v>
    <v>0</v>
    <v>0</v>
    <v>Valberry</v>
  </rv>
  <rv s="2">
    <v>38</v>
    <v>1</v>
    <v>0</v>
    <v>0</v>
    <v>BrilliantDiamondChunk</v>
  </rv>
  <rv s="2">
    <v>39</v>
    <v>1</v>
    <v>0</v>
    <v>0</v>
    <v>CrownofInsight</v>
  </rv>
  <rv s="2">
    <v>40</v>
    <v>1</v>
    <v>0</v>
    <v>0</v>
    <v>claymore</v>
  </rv>
  <rv s="2">
    <v>3</v>
    <v>1</v>
    <v>0</v>
    <v>0</v>
    <v>geo</v>
  </rv>
  <rv s="2">
    <v>41</v>
    <v>1</v>
    <v>0</v>
    <v>0</v>
    <v>Akuoumaru</v>
  </rv>
  <rv s="2">
    <v>42</v>
    <v>1</v>
    <v>0</v>
    <v>0</v>
    <v>DebrisofDecarabiansCity</v>
  </rv>
  <rv s="2">
    <v>43</v>
    <v>1</v>
    <v>0</v>
    <v>0</v>
    <v>FineEnhancementOre</v>
  </rv>
  <rv s="2">
    <v>44</v>
    <v>1</v>
    <v>0</v>
    <v>0</v>
    <v>Bennett</v>
  </rv>
  <rv s="2">
    <v>45</v>
    <v>4</v>
    <v>0</v>
    <v>0</v>
    <v>pyro</v>
  </rv>
  <rv s="2">
    <v>46</v>
    <v>4</v>
    <v>0</v>
    <v>0</v>
    <v>EverflameSeed</v>
  </rv>
  <rv s="2">
    <v>11</v>
    <v>4</v>
    <v>0</v>
    <v>0</v>
    <v>DvalinsPlume</v>
  </rv>
  <rv s="2">
    <v>47</v>
    <v>4</v>
    <v>0</v>
    <v>0</v>
    <v>PhilosophiesofResistance</v>
  </rv>
  <rv s="2">
    <v>48</v>
    <v>4</v>
    <v>0</v>
    <v>0</v>
    <v>GoldenRavenInsignia</v>
  </rv>
  <rv s="2">
    <v>49</v>
    <v>4</v>
    <v>0</v>
    <v>0</v>
    <v>WindwheelAster</v>
  </rv>
  <rv s="2">
    <v>50</v>
    <v>4</v>
    <v>0</v>
    <v>0</v>
    <v>AgnidusAgateGemstone</v>
  </rv>
  <rv s="2">
    <v>51</v>
    <v>1</v>
    <v>0</v>
    <v>0</v>
    <v>HoarfrostCore</v>
  </rv>
  <rv s="2">
    <v>52</v>
    <v>1</v>
    <v>0</v>
    <v>0</v>
    <v>DvalinsSigh</v>
  </rv>
  <rv s="2">
    <v>7</v>
    <v>1</v>
    <v>0</v>
    <v>0</v>
    <v>ForbiddenCurseScroll</v>
  </rv>
  <rv s="2">
    <v>53</v>
    <v>1</v>
    <v>0</v>
    <v>0</v>
    <v>SealedScroll</v>
  </rv>
  <rv s="2">
    <v>54</v>
    <v>1</v>
    <v>0</v>
    <v>0</v>
    <v>DiviningScroll</v>
  </rv>
  <rv s="2">
    <v>55</v>
    <v>1</v>
    <v>0</v>
    <v>0</v>
    <v>TeachingsofFreedom</v>
  </rv>
  <rv s="2">
    <v>8</v>
    <v>1</v>
    <v>0</v>
    <v>0</v>
    <v>Cecilia</v>
  </rv>
  <rv s="2">
    <v>56</v>
    <v>1</v>
    <v>0</v>
    <v>0</v>
    <v>BrilliantDiamondFragment</v>
  </rv>
  <rv s="2">
    <v>57</v>
    <v>1</v>
    <v>0</v>
    <v>0</v>
    <v>DreamSolvent</v>
  </rv>
  <rv s="2">
    <v>58</v>
    <v>1</v>
    <v>0</v>
    <v>0</v>
    <v>polearm</v>
  </rv>
  <rv s="2">
    <v>59</v>
    <v>1</v>
    <v>0</v>
    <v>0</v>
    <v>electro</v>
  </rv>
  <rv s="2">
    <v>60</v>
    <v>1</v>
    <v>0</v>
    <v>0</v>
    <v>AlleyHunter</v>
  </rv>
  <rv s="2">
    <v>61</v>
    <v>1</v>
    <v>0</v>
    <v>0</v>
    <v>FragmentofDecarabiansEpic</v>
  </rv>
  <rv s="2">
    <v>62</v>
    <v>1</v>
    <v>0</v>
    <v>0</v>
    <v>EnhancementOre</v>
  </rv>
  <rv s="2">
    <v>63</v>
    <v>1</v>
    <v>0</v>
    <v>0</v>
    <v>Chiori</v>
  </rv>
  <rv s="2">
    <v>64</v>
    <v>4</v>
    <v>0</v>
    <v>0</v>
    <v>ArtificedSpareClockworkComponentCoppelia</v>
  </rv>
  <rv s="2">
    <v>65</v>
    <v>4</v>
    <v>0</v>
    <v>0</v>
    <v>LightlessSilkString</v>
  </rv>
  <rv s="2">
    <v>66</v>
    <v>4</v>
    <v>0</v>
    <v>0</v>
    <v>PhilosophiesofLight</v>
  </rv>
  <rv s="2">
    <v>67</v>
    <v>4</v>
    <v>0</v>
    <v>0</v>
    <v>SpectralNucleus</v>
  </rv>
  <rv s="2">
    <v>68</v>
    <v>4</v>
    <v>0</v>
    <v>0</v>
    <v>HennaBerry</v>
  </rv>
  <rv s="2">
    <v>46</v>
    <v>1</v>
    <v>0</v>
    <v>0</v>
    <v>EverflameSeed</v>
  </rv>
  <rv s="2">
    <v>69</v>
    <v>1</v>
    <v>0</v>
    <v>0</v>
    <v>TailofBoreas</v>
  </rv>
  <rv s="2">
    <v>70</v>
    <v>1</v>
    <v>0</v>
    <v>0</v>
    <v>WeatheredArrowhead</v>
  </rv>
  <rv s="2">
    <v>71</v>
    <v>1</v>
    <v>0</v>
    <v>0</v>
    <v>SharpArrowhead</v>
  </rv>
  <rv s="2">
    <v>72</v>
    <v>1</v>
    <v>0</v>
    <v>0</v>
    <v>FirmArrowhead</v>
  </rv>
  <rv s="2">
    <v>47</v>
    <v>1</v>
    <v>0</v>
    <v>0</v>
    <v>PhilosophiesofResistance</v>
  </rv>
  <rv s="2">
    <v>49</v>
    <v>1</v>
    <v>0</v>
    <v>0</v>
    <v>WindwheelAster</v>
  </rv>
  <rv s="2">
    <v>73</v>
    <v>1</v>
    <v>0</v>
    <v>0</v>
    <v>BrilliantDiamondSilver</v>
  </rv>
  <rv s="2">
    <v>74</v>
    <v>1</v>
    <v>0</v>
    <v>0</v>
    <v>resin</v>
  </rv>
  <rv s="2">
    <v>75</v>
    <v>1</v>
    <v>0</v>
    <v>0</v>
    <v>bow</v>
  </rv>
  <rv s="2">
    <v>24</v>
    <v>1</v>
    <v>0</v>
    <v>0</v>
    <v>dendro</v>
  </rv>
  <rv s="2">
    <v>76</v>
    <v>1</v>
    <v>0</v>
    <v>0</v>
    <v>AmenomaKageuchi</v>
  </rv>
  <rv s="2">
    <v>77</v>
    <v>1</v>
    <v>0</v>
    <v>0</v>
    <v>ScatteredPieceofDecarabiansDream</v>
  </rv>
  <rv s="2">
    <v>78</v>
    <v>1</v>
    <v>0</v>
    <v>0</v>
    <v>Clorinde</v>
  </rv>
  <rv s="2">
    <v>59</v>
    <v>4</v>
    <v>0</v>
    <v>0</v>
    <v>electro</v>
  </rv>
  <rv s="2">
    <v>79</v>
    <v>4</v>
    <v>0</v>
    <v>0</v>
    <v>FontemerUnihorn</v>
  </rv>
  <rv s="2">
    <v>80</v>
    <v>4</v>
    <v>0</v>
    <v>0</v>
    <v>Everamber</v>
  </rv>
  <rv s="2">
    <v>81</v>
    <v>4</v>
    <v>0</v>
    <v>0</v>
    <v>PhilosophiesofJustice</v>
  </rv>
  <rv s="2">
    <v>82</v>
    <v>4</v>
    <v>0</v>
    <v>0</v>
    <v>XenochromaticCrystal</v>
  </rv>
  <rv s="2">
    <v>83</v>
    <v>4</v>
    <v>0</v>
    <v>0</v>
    <v>Lumitoile</v>
  </rv>
  <rv s="2">
    <v>84</v>
    <v>4</v>
    <v>0</v>
    <v>0</v>
    <v>VajradaAmethystGemstone</v>
  </rv>
  <rv s="2">
    <v>85</v>
    <v>1</v>
    <v>0</v>
    <v>0</v>
    <v>CleansingHeart</v>
  </rv>
  <rv s="2">
    <v>86</v>
    <v>1</v>
    <v>0</v>
    <v>0</v>
    <v>RingofBoreas</v>
  </rv>
  <rv s="2">
    <v>87</v>
    <v>1</v>
    <v>0</v>
    <v>0</v>
    <v>LieutenantsInsignia</v>
  </rv>
  <rv s="2">
    <v>88</v>
    <v>1</v>
    <v>0</v>
    <v>0</v>
    <v>SergeantsInsignia</v>
  </rv>
  <rv s="2">
    <v>89</v>
    <v>1</v>
    <v>0</v>
    <v>0</v>
    <v>RecruitsInsignia</v>
  </rv>
  <rv s="2">
    <v>90</v>
    <v>1</v>
    <v>0</v>
    <v>0</v>
    <v>GuidetoResistance</v>
  </rv>
  <rv s="2">
    <v>91</v>
    <v>1</v>
    <v>0</v>
    <v>0</v>
    <v>PhilanemoMushroom</v>
  </rv>
  <rv s="2">
    <v>50</v>
    <v>1</v>
    <v>0</v>
    <v>0</v>
    <v>AgnidusAgateGemstone</v>
  </rv>
  <rv s="2">
    <v>92</v>
    <v>1</v>
    <v>0</v>
    <v>0</v>
    <v>characters</v>
  </rv>
  <rv s="2">
    <v>93</v>
    <v>1</v>
    <v>0</v>
    <v>0</v>
    <v>catalyst</v>
  </rv>
  <rv s="2">
    <v>94</v>
    <v>1</v>
    <v>0</v>
    <v>0</v>
    <v>hydro</v>
  </rv>
  <rv s="2">
    <v>95</v>
    <v>1</v>
    <v>0</v>
    <v>0</v>
    <v>AmosBow</v>
  </rv>
  <rv s="2">
    <v>96</v>
    <v>1</v>
    <v>0</v>
    <v>0</v>
    <v>BorealWolfsMilkTooth</v>
  </rv>
  <rv s="2">
    <v>97</v>
    <v>1</v>
    <v>0</v>
    <v>0</v>
    <v>Furina</v>
  </rv>
  <rv s="2">
    <v>94</v>
    <v>4</v>
    <v>0</v>
    <v>0</v>
    <v>hydro</v>
  </rv>
  <rv s="2">
    <v>98</v>
    <v>4</v>
    <v>0</v>
    <v>0</v>
    <v>WaterThatFailedToTranscend</v>
  </rv>
  <rv s="2">
    <v>99</v>
    <v>4</v>
    <v>0</v>
    <v>0</v>
    <v>LightlessMass</v>
  </rv>
  <rv s="2">
    <v>100</v>
    <v>4</v>
    <v>0</v>
    <v>0</v>
    <v>EnergyNectar</v>
  </rv>
  <rv s="2">
    <v>101</v>
    <v>4</v>
    <v>0</v>
    <v>0</v>
    <v>LakelightLily</v>
  </rv>
  <rv s="2">
    <v>102</v>
    <v>4</v>
    <v>0</v>
    <v>0</v>
    <v>VarunadaLazuriteGemstone</v>
  </rv>
  <rv s="2">
    <v>4</v>
    <v>1</v>
    <v>0</v>
    <v>0</v>
    <v>BasaltPillar</v>
  </rv>
  <rv s="2">
    <v>103</v>
    <v>1</v>
    <v>0</v>
    <v>0</v>
    <v>SpiritLocketofBoreas</v>
  </rv>
  <rv s="2">
    <v>48</v>
    <v>1</v>
    <v>0</v>
    <v>0</v>
    <v>GoldenRavenInsignia</v>
  </rv>
  <rv s="2">
    <v>104</v>
    <v>1</v>
    <v>0</v>
    <v>0</v>
    <v>SilverRavenInsignia</v>
  </rv>
  <rv s="2">
    <v>105</v>
    <v>1</v>
    <v>0</v>
    <v>0</v>
    <v>TreasureHoarderInsignia</v>
  </rv>
  <rv s="2">
    <v>106</v>
    <v>1</v>
    <v>0</v>
    <v>0</v>
    <v>TeachingsofResistance</v>
  </rv>
  <rv s="2">
    <v>107</v>
    <v>1</v>
    <v>0</v>
    <v>0</v>
    <v>SmallLampGrass</v>
  </rv>
  <rv s="2">
    <v>108</v>
    <v>1</v>
    <v>0</v>
    <v>0</v>
    <v>AgnidusAgateChunk</v>
  </rv>
  <rv s="2">
    <v>109</v>
    <v>1</v>
    <v>0</v>
    <v>0</v>
    <v>inventory</v>
  </rv>
  <rv s="2">
    <v>45</v>
    <v>1</v>
    <v>0</v>
    <v>0</v>
    <v>pyro</v>
  </rv>
  <rv s="2">
    <v>110</v>
    <v>1</v>
    <v>0</v>
    <v>0</v>
    <v>AquaSimulacra</v>
  </rv>
  <rv s="2">
    <v>111</v>
    <v>1</v>
    <v>0</v>
    <v>0</v>
    <v>BorealWolfsCrackedTooth</v>
  </rv>
  <rv s="2">
    <v>112</v>
    <v>1</v>
    <v>0</v>
    <v>0</v>
    <v>Jean</v>
  </rv>
  <rv s="2">
    <v>19</v>
    <v>4</v>
    <v>0</v>
    <v>0</v>
    <v>anemo</v>
  </rv>
  <rv s="2">
    <v>10</v>
    <v>4</v>
    <v>0</v>
    <v>0</v>
    <v>HurricaneSeed</v>
  </rv>
  <rv s="2">
    <v>33</v>
    <v>4</v>
    <v>0</v>
    <v>0</v>
    <v>OminousMask</v>
  </rv>
  <rv s="2">
    <v>113</v>
    <v>4</v>
    <v>0</v>
    <v>0</v>
    <v>DandelionSeed</v>
  </rv>
  <rv s="2">
    <v>114</v>
    <v>4</v>
    <v>0</v>
    <v>0</v>
    <v>VayudaTurquoiseGemstone</v>
  </rv>
  <rv s="2">
    <v>115</v>
    <v>1</v>
    <v>0</v>
    <v>0</v>
    <v>JuvenileJade</v>
  </rv>
  <rv s="2">
    <v>5</v>
    <v>1</v>
    <v>0</v>
    <v>0</v>
    <v>TuskofMonocerosCaeli</v>
  </rv>
  <rv s="2">
    <v>100</v>
    <v>1</v>
    <v>0</v>
    <v>0</v>
    <v>EnergyNectar</v>
  </rv>
  <rv s="2">
    <v>116</v>
    <v>1</v>
    <v>0</v>
    <v>0</v>
    <v>ShimmeringNectar</v>
  </rv>
  <rv s="2">
    <v>117</v>
    <v>1</v>
    <v>0</v>
    <v>0</v>
    <v>WhopperflowerNectar</v>
  </rv>
  <rv s="2">
    <v>6</v>
    <v>1</v>
    <v>0</v>
    <v>0</v>
    <v>PhilosophiesofBallad</v>
  </rv>
  <rv s="2">
    <v>118</v>
    <v>1</v>
    <v>0</v>
    <v>0</v>
    <v>CallaLily</v>
  </rv>
  <rv s="2">
    <v>119</v>
    <v>1</v>
    <v>0</v>
    <v>0</v>
    <v>AgnidusAgateFragment</v>
  </rv>
  <rv s="2">
    <v>120</v>
    <v>1</v>
    <v>0</v>
    <v>0</v>
    <v>options</v>
  </rv>
  <rv s="2">
    <v>121</v>
    <v>1</v>
    <v>0</v>
    <v>0</v>
    <v>cryo</v>
  </rv>
  <rv s="2">
    <v>122</v>
    <v>1</v>
    <v>0</v>
    <v>0</v>
    <v>AquilaFavonia</v>
  </rv>
  <rv s="2">
    <v>123</v>
    <v>1</v>
    <v>0</v>
    <v>0</v>
    <v>BorealWolfsBrokenFang</v>
  </rv>
  <rv s="2">
    <v>124</v>
    <v>1</v>
    <v>0</v>
    <v>0</v>
    <v>KaedeharaKazuha</v>
  </rv>
  <rv s="2">
    <v>125</v>
    <v>4</v>
    <v>0</v>
    <v>0</v>
    <v>MarionetteCore</v>
  </rv>
  <rv s="2">
    <v>126</v>
    <v>4</v>
    <v>0</v>
    <v>0</v>
    <v>GildedScale</v>
  </rv>
  <rv s="2">
    <v>127</v>
    <v>4</v>
    <v>0</v>
    <v>0</v>
    <v>PhilosophiesofDiligence</v>
  </rv>
  <rv s="2">
    <v>128</v>
    <v>4</v>
    <v>0</v>
    <v>0</v>
    <v>SeaGanoderma</v>
  </rv>
  <rv s="2">
    <v>129</v>
    <v>1</v>
    <v>0</v>
    <v>0</v>
    <v>CrystallineBloom</v>
  </rv>
  <rv s="2">
    <v>130</v>
    <v>1</v>
    <v>0</v>
    <v>0</v>
    <v>ShardofaFoulLegacy</v>
  </rv>
  <rv s="2">
    <v>131</v>
    <v>1</v>
    <v>0</v>
    <v>0</v>
    <v>FamedHandguard</v>
  </rv>
  <rv s="2">
    <v>132</v>
    <v>1</v>
    <v>0</v>
    <v>0</v>
    <v>KageuchiHandguard</v>
  </rv>
  <rv s="2">
    <v>133</v>
    <v>1</v>
    <v>0</v>
    <v>0</v>
    <v>OldHandguard</v>
  </rv>
  <rv s="2">
    <v>134</v>
    <v>1</v>
    <v>0</v>
    <v>0</v>
    <v>GuidetoBallad</v>
  </rv>
  <rv s="2">
    <v>113</v>
    <v>1</v>
    <v>0</v>
    <v>0</v>
    <v>DandelionSeed</v>
  </rv>
  <rv s="2">
    <v>135</v>
    <v>1</v>
    <v>0</v>
    <v>0</v>
    <v>AgnidusAgateSilver</v>
  </rv>
  <rv s="2">
    <v>136</v>
    <v>1</v>
    <v>0</v>
    <v>0</v>
    <v>weapons</v>
  </rv>
  <rv s="2">
    <v>137</v>
    <v>1</v>
    <v>0</v>
    <v>0</v>
    <v>AThousandFloatingDreams</v>
  </rv>
  <rv s="2">
    <v>138</v>
    <v>1</v>
    <v>0</v>
    <v>0</v>
    <v>BorealWolfsNostalgia</v>
  </rv>
  <rv s="2">
    <v>139</v>
    <v>1</v>
    <v>0</v>
    <v>0</v>
    <v>Kaeya</v>
  </rv>
  <rv s="2">
    <v>121</v>
    <v>4</v>
    <v>0</v>
    <v>0</v>
    <v>cryo</v>
  </rv>
  <rv s="2">
    <v>51</v>
    <v>4</v>
    <v>0</v>
    <v>0</v>
    <v>HoarfrostCore</v>
  </rv>
  <rv s="2">
    <v>103</v>
    <v>4</v>
    <v>0</v>
    <v>0</v>
    <v>SpiritLocketofBoreas</v>
  </rv>
  <rv s="2">
    <v>118</v>
    <v>4</v>
    <v>0</v>
    <v>0</v>
    <v>CallaLily</v>
  </rv>
  <rv s="2">
    <v>140</v>
    <v>4</v>
    <v>0</v>
    <v>0</v>
    <v>ShivadaJadeGemstone</v>
  </rv>
  <rv s="2">
    <v>125</v>
    <v>1</v>
    <v>0</v>
    <v>0</v>
    <v>MarionetteCore</v>
  </rv>
  <rv s="2">
    <v>141</v>
    <v>1</v>
    <v>0</v>
    <v>0</v>
    <v>ShadowoftheWarrior</v>
  </rv>
  <rv s="2">
    <v>67</v>
    <v>1</v>
    <v>0</v>
    <v>0</v>
    <v>SpectralNucleus</v>
  </rv>
  <rv s="2">
    <v>142</v>
    <v>1</v>
    <v>0</v>
    <v>0</v>
    <v>SpectralHeart</v>
  </rv>
  <rv s="2">
    <v>143</v>
    <v>1</v>
    <v>0</v>
    <v>0</v>
    <v>SpectralHusk</v>
  </rv>
  <rv s="2">
    <v>144</v>
    <v>1</v>
    <v>0</v>
    <v>0</v>
    <v>TeachingsofBallad</v>
  </rv>
  <rv s="2">
    <v>145</v>
    <v>1</v>
    <v>0</v>
    <v>0</v>
    <v>JueyunChili</v>
  </rv>
  <rv s="2">
    <v>102</v>
    <v>1</v>
    <v>0</v>
    <v>0</v>
    <v>VarunadaLazuriteGemstone</v>
  </rv>
  <rv s="2">
    <v>146</v>
    <v>1</v>
    <v>0</v>
    <v>0</v>
    <v>BalladoftheBoundlessBlue</v>
  </rv>
  <rv s="2">
    <v>147</v>
    <v>1</v>
    <v>0</v>
    <v>0</v>
    <v>FettersoftheDandelionGladiator</v>
  </rv>
  <rv s="2">
    <v>148</v>
    <v>1</v>
    <v>0</v>
    <v>0</v>
    <v>KamisatoAyaka</v>
  </rv>
  <rv s="2">
    <v>149</v>
    <v>4</v>
    <v>0</v>
    <v>0</v>
    <v>PerpetualHeart</v>
  </rv>
  <rv s="2">
    <v>150</v>
    <v>4</v>
    <v>0</v>
    <v>0</v>
    <v>BloodjadeBranch</v>
  </rv>
  <rv s="2">
    <v>151</v>
    <v>4</v>
    <v>0</v>
    <v>0</v>
    <v>PhilosophiesofElegance</v>
  </rv>
  <rv s="2">
    <v>131</v>
    <v>4</v>
    <v>0</v>
    <v>0</v>
    <v>FamedHandguard</v>
  </rv>
  <rv s="2">
    <v>152</v>
    <v>4</v>
    <v>0</v>
    <v>0</v>
    <v>SakuraBloom</v>
  </rv>
  <rv s="2">
    <v>149</v>
    <v>1</v>
    <v>0</v>
    <v>0</v>
    <v>PerpetualHeart</v>
  </rv>
  <rv s="2">
    <v>153</v>
    <v>1</v>
    <v>0</v>
    <v>0</v>
    <v>DragonLordsCrown</v>
  </rv>
  <rv s="2">
    <v>154</v>
    <v>1</v>
    <v>0</v>
    <v>0</v>
    <v>CrystallineCystDust</v>
  </rv>
  <rv s="2">
    <v>155</v>
    <v>1</v>
    <v>0</v>
    <v>0</v>
    <v>LuminescentPollen</v>
  </rv>
  <rv s="2">
    <v>156</v>
    <v>1</v>
    <v>0</v>
    <v>0</v>
    <v>FungalSpores</v>
  </rv>
  <rv s="2">
    <v>157</v>
    <v>1</v>
    <v>0</v>
    <v>0</v>
    <v>PhilosophiesofProsperity</v>
  </rv>
  <rv s="2">
    <v>158</v>
    <v>1</v>
    <v>0</v>
    <v>0</v>
    <v>NoctilucousJade</v>
  </rv>
  <rv s="2">
    <v>159</v>
    <v>1</v>
    <v>0</v>
    <v>0</v>
    <v>VarunadaLazuriteChunk</v>
  </rv>
  <rv s="2">
    <v>160</v>
    <v>1</v>
    <v>0</v>
    <v>0</v>
    <v>BalladoftheFjords</v>
  </rv>
  <rv s="2">
    <v>161</v>
    <v>1</v>
    <v>0</v>
    <v>0</v>
    <v>ChainsoftheDandelionGladiator</v>
  </rv>
  <rv s="2">
    <v>162</v>
    <v>1</v>
    <v>0</v>
    <v>0</v>
    <v>KamisatoAyato</v>
  </rv>
  <rv s="2">
    <v>163</v>
    <v>4</v>
    <v>0</v>
    <v>0</v>
    <v>DewofRepudiation</v>
  </rv>
  <rv s="2">
    <v>164</v>
    <v>4</v>
    <v>0</v>
    <v>0</v>
    <v>MudraoftheMaleficGeneral</v>
  </rv>
  <rv s="2">
    <v>165</v>
    <v>1</v>
    <v>0</v>
    <v>0</v>
    <v>SmolderingPearl</v>
  </rv>
  <rv s="2">
    <v>150</v>
    <v>1</v>
    <v>0</v>
    <v>0</v>
    <v>BloodjadeBranch</v>
  </rv>
  <rv s="2">
    <v>28</v>
    <v>1</v>
    <v>0</v>
    <v>0</v>
    <v>RichRedBrocade</v>
  </rv>
  <rv s="2">
    <v>166</v>
    <v>1</v>
    <v>0</v>
    <v>0</v>
    <v>TrimmedRedSilk</v>
  </rv>
  <rv s="2">
    <v>167</v>
    <v>1</v>
    <v>0</v>
    <v>0</v>
    <v>FadedRedSatin</v>
  </rv>
  <rv s="2">
    <v>168</v>
    <v>1</v>
    <v>0</v>
    <v>0</v>
    <v>GuidetoProsperity</v>
  </rv>
  <rv s="2">
    <v>169</v>
    <v>1</v>
    <v>0</v>
    <v>0</v>
    <v>SilkFlower</v>
  </rv>
  <rv s="2">
    <v>170</v>
    <v>1</v>
    <v>0</v>
    <v>0</v>
    <v>VarunadaLazuriteFragment</v>
  </rv>
  <rv s="2">
    <v>171</v>
    <v>1</v>
    <v>0</v>
    <v>0</v>
    <v>BeaconoftheReedSea</v>
  </rv>
  <rv s="2">
    <v>172</v>
    <v>1</v>
    <v>0</v>
    <v>0</v>
    <v>ShacklesoftheDandelionGladiator</v>
  </rv>
  <rv s="2">
    <v>173</v>
    <v>1</v>
    <v>0</v>
    <v>0</v>
    <v>Keqing</v>
  </rv>
  <rv s="2">
    <v>31</v>
    <v>4</v>
    <v>0</v>
    <v>0</v>
    <v>LightningPrism</v>
  </rv>
  <rv s="2">
    <v>86</v>
    <v>4</v>
    <v>0</v>
    <v>0</v>
    <v>RingofBoreas</v>
  </rv>
  <rv s="2">
    <v>157</v>
    <v>4</v>
    <v>0</v>
    <v>0</v>
    <v>PhilosophiesofProsperity</v>
  </rv>
  <rv s="2">
    <v>174</v>
    <v>4</v>
    <v>0</v>
    <v>0</v>
    <v>CorLapis</v>
  </rv>
  <rv s="2">
    <v>163</v>
    <v>1</v>
    <v>0</v>
    <v>0</v>
    <v>DewofRepudiation</v>
  </rv>
  <rv s="2">
    <v>126</v>
    <v>1</v>
    <v>0</v>
    <v>0</v>
    <v>GildedScale</v>
  </rv>
  <rv s="2">
    <v>82</v>
    <v>1</v>
    <v>0</v>
    <v>0</v>
    <v>XenochromaticCrystal</v>
  </rv>
  <rv s="2">
    <v>175</v>
    <v>1</v>
    <v>0</v>
    <v>0</v>
    <v>TransoceanicChunk</v>
  </rv>
  <rv s="2">
    <v>176</v>
    <v>1</v>
    <v>0</v>
    <v>0</v>
    <v>TransoceanicPearl</v>
  </rv>
  <rv s="2">
    <v>177</v>
    <v>1</v>
    <v>0</v>
    <v>0</v>
    <v>TeachingsofProsperity</v>
  </rv>
  <rv s="2">
    <v>178</v>
    <v>1</v>
    <v>0</v>
    <v>0</v>
    <v>GlazeLily</v>
  </rv>
  <rv s="2">
    <v>179</v>
    <v>1</v>
    <v>0</v>
    <v>0</v>
    <v>VarunadaLazuriteSilver</v>
  </rv>
  <rv s="2">
    <v>180</v>
    <v>1</v>
    <v>0</v>
    <v>0</v>
    <v>BlackcliffAgate</v>
  </rv>
  <rv s="2">
    <v>181</v>
    <v>1</v>
    <v>0</v>
    <v>0</v>
    <v>DreamoftheDandelionGladiator</v>
  </rv>
  <rv s="2">
    <v>182</v>
    <v>1</v>
    <v>0</v>
    <v>0</v>
    <v>Kirara</v>
  </rv>
  <rv s="2">
    <v>183</v>
    <v>4</v>
    <v>0</v>
    <v>0</v>
    <v>EvergloomRing</v>
  </rv>
  <rv s="2">
    <v>184</v>
    <v>4</v>
    <v>0</v>
    <v>0</v>
    <v>PhilosophiesofTransience</v>
  </rv>
  <rv s="2">
    <v>185</v>
    <v>4</v>
    <v>0</v>
    <v>0</v>
    <v>AmakumoFruit</v>
  </rv>
  <rv s="2">
    <v>186</v>
    <v>1</v>
    <v>0</v>
    <v>0</v>
    <v>StormBeads</v>
  </rv>
  <rv s="2">
    <v>187</v>
    <v>1</v>
    <v>0</v>
    <v>0</v>
    <v>MoltenMoment</v>
  </rv>
  <rv s="2">
    <v>188</v>
    <v>1</v>
    <v>0</v>
    <v>0</v>
    <v>ArtificedDynamicGear</v>
  </rv>
  <rv s="2">
    <v>189</v>
    <v>1</v>
    <v>0</v>
    <v>0</v>
    <v>MechanicalSpurGear</v>
  </rv>
  <rv s="2">
    <v>190</v>
    <v>1</v>
    <v>0</v>
    <v>0</v>
    <v>MeshingGear</v>
  </rv>
  <rv s="2">
    <v>127</v>
    <v>1</v>
    <v>0</v>
    <v>0</v>
    <v>PhilosophiesofDiligence</v>
  </rv>
  <rv s="2">
    <v>191</v>
    <v>1</v>
    <v>0</v>
    <v>0</v>
    <v>Qingxin</v>
  </rv>
  <rv s="2">
    <v>30</v>
    <v>1</v>
    <v>0</v>
    <v>0</v>
    <v>NagadusEmeraldGemstone</v>
  </rv>
  <rv s="2">
    <v>192</v>
    <v>1</v>
    <v>0</v>
    <v>0</v>
    <v>BlackcliffLongsword</v>
  </rv>
  <rv s="2">
    <v>193</v>
    <v>1</v>
    <v>0</v>
    <v>0</v>
    <v>LuminousSandsfromGuyun</v>
  </rv>
  <rv s="2">
    <v>194</v>
    <v>1</v>
    <v>0</v>
    <v>0</v>
    <v>KukiShinobu</v>
  </rv>
  <rv s="2">
    <v>195</v>
    <v>4</v>
    <v>0</v>
    <v>0</v>
    <v>RunicFang</v>
  </rv>
  <rv s="2">
    <v>196</v>
    <v>4</v>
    <v>0</v>
    <v>0</v>
    <v>TearsoftheCalamitousGod</v>
  </rv>
  <rv s="2">
    <v>197</v>
    <v>4</v>
    <v>0</v>
    <v>0</v>
    <v>NakuWeed</v>
  </rv>
  <rv s="2">
    <v>198</v>
    <v>1</v>
    <v>0</v>
    <v>0</v>
    <v>RiftbornRegalia</v>
  </rv>
  <rv s="2">
    <v>199</v>
    <v>1</v>
    <v>0</v>
    <v>0</v>
    <v>HellfireButterfly</v>
  </rv>
  <rv s="2">
    <v>200</v>
    <v>1</v>
    <v>0</v>
    <v>0</v>
    <v>GuidetoDiligence</v>
  </rv>
  <rv s="2">
    <v>201</v>
    <v>1</v>
    <v>0</v>
    <v>0</v>
    <v>Starconch</v>
  </rv>
  <rv s="2">
    <v>202</v>
    <v>1</v>
    <v>0</v>
    <v>0</v>
    <v>NagadusEmeraldChunk</v>
  </rv>
  <rv s="2">
    <v>203</v>
    <v>1</v>
    <v>0</v>
    <v>0</v>
    <v>BlackcliffPole</v>
  </rv>
  <rv s="2">
    <v>204</v>
    <v>1</v>
    <v>0</v>
    <v>0</v>
    <v>LustrousStonefromGuyun</v>
  </rv>
  <rv s="2">
    <v>205</v>
    <v>1</v>
    <v>0</v>
    <v>0</v>
    <v>Layla</v>
  </rv>
  <rv s="2">
    <v>206</v>
    <v>4</v>
    <v>0</v>
    <v>0</v>
    <v>PerpetualCaliber</v>
  </rv>
  <rv s="2">
    <v>207</v>
    <v>4</v>
    <v>0</v>
    <v>0</v>
    <v>NilotpalaLotus</v>
  </rv>
  <rv s="2">
    <v>208</v>
    <v>1</v>
    <v>0</v>
    <v>0</v>
    <v>DragonheirsFalseFin</v>
  </rv>
  <rv s="2">
    <v>209</v>
    <v>1</v>
    <v>0</v>
    <v>0</v>
    <v>AshenHeart</v>
  </rv>
  <rv s="2">
    <v>210</v>
    <v>1</v>
    <v>0</v>
    <v>0</v>
    <v>TeachingsofDiligence</v>
  </rv>
  <rv s="2">
    <v>211</v>
    <v>1</v>
    <v>0</v>
    <v>0</v>
    <v>Violetgrass</v>
  </rv>
  <rv s="2">
    <v>212</v>
    <v>1</v>
    <v>0</v>
    <v>0</v>
    <v>NagadusEmeraldFragment</v>
  </rv>
  <rv s="2">
    <v>213</v>
    <v>1</v>
    <v>0</v>
    <v>0</v>
    <v>BlackcliffSlasher</v>
  </rv>
  <rv s="2">
    <v>214</v>
    <v>1</v>
    <v>0</v>
    <v>0</v>
    <v>RelicfromGuyun</v>
  </rv>
  <rv s="2">
    <v>215</v>
    <v>1</v>
    <v>0</v>
    <v>0</v>
    <v>Lynette</v>
  </rv>
  <rv s="2">
    <v>216</v>
    <v>4</v>
    <v>0</v>
    <v>0</v>
    <v>PhilosophiesofOrder</v>
  </rv>
  <rv s="2">
    <v>188</v>
    <v>4</v>
    <v>0</v>
    <v>0</v>
    <v>ArtificedDynamicGear</v>
  </rv>
  <rv s="2">
    <v>217</v>
    <v>4</v>
    <v>0</v>
    <v>0</v>
    <v>LumidouceBell</v>
  </rv>
  <rv s="2">
    <v>195</v>
    <v>1</v>
    <v>0</v>
    <v>0</v>
    <v>RunicFang</v>
  </rv>
  <rv s="2">
    <v>164</v>
    <v>1</v>
    <v>0</v>
    <v>0</v>
    <v>MudraoftheMaleficGeneral</v>
  </rv>
  <rv s="2">
    <v>218</v>
    <v>1</v>
    <v>0</v>
    <v>0</v>
    <v>PhilosophiesofGold</v>
  </rv>
  <rv s="2">
    <v>174</v>
    <v>1</v>
    <v>0</v>
    <v>0</v>
    <v>CorLapis</v>
  </rv>
  <rv s="2">
    <v>219</v>
    <v>1</v>
    <v>0</v>
    <v>0</v>
    <v>NagadusEmeraldSilver</v>
  </rv>
  <rv s="2">
    <v>220</v>
    <v>1</v>
    <v>0</v>
    <v>0</v>
    <v>BlackcliffWarbow</v>
  </rv>
  <rv s="2">
    <v>221</v>
    <v>1</v>
    <v>0</v>
    <v>0</v>
    <v>DivineBodyfromGuyun</v>
  </rv>
  <rv s="2">
    <v>222</v>
    <v>1</v>
    <v>0</v>
    <v>0</v>
    <v>Nilou</v>
  </rv>
  <rv s="2">
    <v>223</v>
    <v>4</v>
    <v>0</v>
    <v>0</v>
    <v>PhilosophiesofPraxis</v>
  </rv>
  <rv s="2">
    <v>154</v>
    <v>4</v>
    <v>0</v>
    <v>0</v>
    <v>CrystallineCystDust</v>
  </rv>
  <rv s="2">
    <v>224</v>
    <v>4</v>
    <v>0</v>
    <v>0</v>
    <v>Padisarah</v>
  </rv>
  <rv s="2">
    <v>225</v>
    <v>1</v>
    <v>0</v>
    <v>0</v>
    <v>MajesticHookedBeak</v>
  </rv>
  <rv s="2">
    <v>196</v>
    <v>1</v>
    <v>0</v>
    <v>0</v>
    <v>TearsoftheCalamitousGod</v>
  </rv>
  <rv s="2">
    <v>226</v>
    <v>1</v>
    <v>0</v>
    <v>0</v>
    <v>GuidetoGold</v>
  </rv>
  <rv s="2">
    <v>227</v>
    <v>1</v>
    <v>0</v>
    <v>0</v>
    <v>ClearwaterJade</v>
  </rv>
  <rv s="2">
    <v>84</v>
    <v>1</v>
    <v>0</v>
    <v>0</v>
    <v>VajradaAmethystGemstone</v>
  </rv>
  <rv s="2">
    <v>228</v>
    <v>1</v>
    <v>0</v>
    <v>0</v>
    <v>BlackTassel</v>
  </rv>
  <rv s="2">
    <v>229</v>
    <v>1</v>
    <v>0</v>
    <v>0</v>
    <v>MistVeiledLeadElixir</v>
  </rv>
  <rv s="2">
    <v>230</v>
    <v>1</v>
    <v>0</v>
    <v>0</v>
    <v>Qiqi</v>
  </rv>
  <rv s="2">
    <v>69</v>
    <v>4</v>
    <v>0</v>
    <v>0</v>
    <v>TailofBoreas</v>
  </rv>
  <rv s="2">
    <v>211</v>
    <v>4</v>
    <v>0</v>
    <v>0</v>
    <v>Violetgrass</v>
  </rv>
  <rv s="2">
    <v>231</v>
    <v>1</v>
    <v>0</v>
    <v>0</v>
    <v>ThunderclapFruitcore</v>
  </rv>
  <rv s="2">
    <v>232</v>
    <v>1</v>
    <v>0</v>
    <v>0</v>
    <v>TheMeaningofAeons</v>
  </rv>
  <rv s="2">
    <v>233</v>
    <v>1</v>
    <v>0</v>
    <v>0</v>
    <v>TeachingsofGold</v>
  </rv>
  <rv s="2">
    <v>234</v>
    <v>1</v>
    <v>0</v>
    <v>0</v>
    <v>Onikabuto</v>
  </rv>
  <rv s="2">
    <v>235</v>
    <v>1</v>
    <v>0</v>
    <v>0</v>
    <v>VajradaAmethystChunk</v>
  </rv>
  <rv s="2">
    <v>236</v>
    <v>1</v>
    <v>0</v>
    <v>0</v>
    <v>BloodtaintedGreatsword</v>
  </rv>
  <rv s="2">
    <v>237</v>
    <v>1</v>
    <v>0</v>
    <v>0</v>
    <v>MistVeiledMercuryElixir</v>
  </rv>
  <rv s="2">
    <v>238</v>
    <v>1</v>
    <v>0</v>
    <v>0</v>
    <v>TravelerAnemo</v>
  </rv>
  <rv s="2">
    <v>52</v>
    <v>4</v>
    <v>0</v>
    <v>0</v>
    <v>DvalinsSigh</v>
  </rv>
  <rv s="2">
    <v>17</v>
    <v>4</v>
    <v>0</v>
    <v>0</v>
    <v>BrilliantDiamondGemstone</v>
  </rv>
  <rv s="2">
    <v>206</v>
    <v>1</v>
    <v>0</v>
    <v>0</v>
    <v>PerpetualCaliber</v>
  </rv>
  <rv s="2">
    <v>239</v>
    <v>1</v>
    <v>0</v>
    <v>0</v>
    <v>PuppetStrings</v>
  </rv>
  <rv s="2">
    <v>184</v>
    <v>1</v>
    <v>0</v>
    <v>0</v>
    <v>PhilosophiesofTransience</v>
  </rv>
  <rv s="2">
    <v>152</v>
    <v>1</v>
    <v>0</v>
    <v>0</v>
    <v>SakuraBloom</v>
  </rv>
  <rv s="2">
    <v>240</v>
    <v>1</v>
    <v>0</v>
    <v>0</v>
    <v>VajradaAmethystFragment</v>
  </rv>
  <rv s="2">
    <v>241</v>
    <v>1</v>
    <v>0</v>
    <v>0</v>
    <v>CalamityQueller</v>
  </rv>
  <rv s="2">
    <v>242</v>
    <v>1</v>
    <v>0</v>
    <v>0</v>
    <v>MistVeiledGoldElixir</v>
  </rv>
  <rv s="2">
    <v>243</v>
    <v>1</v>
    <v>0</v>
    <v>0</v>
    <v>TravelerGeo</v>
  </rv>
  <rv s="2">
    <v>70</v>
    <v>4</v>
    <v>0</v>
    <v>0</v>
    <v>WeatheredArrowhead</v>
  </rv>
  <rv s="2">
    <v>244</v>
    <v>1</v>
    <v>0</v>
    <v>0</v>
    <v>LightGuidingTetrahedron</v>
  </rv>
  <rv s="2">
    <v>26</v>
    <v>1</v>
    <v>0</v>
    <v>0</v>
    <v>MirrorofMushin</v>
  </rv>
  <rv s="2">
    <v>245</v>
    <v>1</v>
    <v>0</v>
    <v>0</v>
    <v>GuidetoTransience</v>
  </rv>
  <rv s="2">
    <v>246</v>
    <v>1</v>
    <v>0</v>
    <v>0</v>
    <v>CrystalMarrow</v>
  </rv>
  <rv s="2">
    <v>247</v>
    <v>1</v>
    <v>0</v>
    <v>0</v>
    <v>VajradaAmethystSilver</v>
  </rv>
  <rv s="2">
    <v>248</v>
    <v>1</v>
    <v>0</v>
    <v>0</v>
    <v>CashflowSupervision</v>
  </rv>
  <rv s="2">
    <v>249</v>
    <v>1</v>
    <v>0</v>
    <v>0</v>
    <v>MistVeiledPrimoElixir</v>
  </rv>
  <rv s="2">
    <v>250</v>
    <v>1</v>
    <v>0</v>
    <v>0</v>
    <v>TravelerElectro</v>
  </rv>
  <rv s="2">
    <v>153</v>
    <v>4</v>
    <v>0</v>
    <v>0</v>
    <v>DragonLordsCrown</v>
  </rv>
  <rv s="2">
    <v>251</v>
    <v>1</v>
    <v>0</v>
    <v>0</v>
    <v>QuelledCreeper</v>
  </rv>
  <rv s="2">
    <v>252</v>
    <v>1</v>
    <v>0</v>
    <v>0</v>
    <v>DakasBell</v>
  </rv>
  <rv s="2">
    <v>253</v>
    <v>1</v>
    <v>0</v>
    <v>0</v>
    <v>TeachingsofTransience</v>
  </rv>
  <rv s="2">
    <v>254</v>
    <v>1</v>
    <v>0</v>
    <v>0</v>
    <v>Dendrobium</v>
  </rv>
  <rv s="2">
    <v>114</v>
    <v>1</v>
    <v>0</v>
    <v>0</v>
    <v>VayudaTurquoiseGemstone</v>
  </rv>
  <rv s="2">
    <v>255</v>
    <v>1</v>
    <v>0</v>
    <v>0</v>
    <v>CinnabarSpindle</v>
  </rv>
  <rv s="2">
    <v>256</v>
    <v>1</v>
    <v>0</v>
    <v>0</v>
    <v>GrainofAerosiderite</v>
  </rv>
  <rv s="2">
    <v>257</v>
    <v>1</v>
    <v>0</v>
    <v>0</v>
    <v>TravelerDendro</v>
  </rv>
  <rv s="2">
    <v>25</v>
    <v>1</v>
    <v>0</v>
    <v>0</v>
    <v>PseudoStamens</v>
  </rv>
  <rv s="2">
    <v>258</v>
    <v>1</v>
    <v>0</v>
    <v>0</v>
    <v>WorldspanFern</v>
  </rv>
  <rv s="2">
    <v>151</v>
    <v>1</v>
    <v>0</v>
    <v>0</v>
    <v>PhilosophiesofElegance</v>
  </rv>
  <rv s="2">
    <v>197</v>
    <v>1</v>
    <v>0</v>
    <v>0</v>
    <v>NakuWeed</v>
  </rv>
  <rv s="2">
    <v>259</v>
    <v>1</v>
    <v>0</v>
    <v>0</v>
    <v>VayudaTurquoiseChunk</v>
  </rv>
  <rv s="2">
    <v>260</v>
    <v>1</v>
    <v>0</v>
    <v>0</v>
    <v>Cloudforged</v>
  </rv>
  <rv s="2">
    <v>261</v>
    <v>1</v>
    <v>0</v>
    <v>0</v>
    <v>PieceofAerosiderite</v>
  </rv>
  <rv s="2">
    <v>262</v>
    <v>1</v>
    <v>0</v>
    <v>0</v>
    <v>TravelerHydro</v>
  </rv>
  <rv s="2">
    <v>258</v>
    <v>4</v>
    <v>0</v>
    <v>0</v>
    <v>WorldspanFern</v>
  </rv>
  <rv s="2">
    <v>183</v>
    <v>1</v>
    <v>0</v>
    <v>0</v>
    <v>EvergloomRing</v>
  </rv>
  <rv s="2">
    <v>263</v>
    <v>1</v>
    <v>0</v>
    <v>0</v>
    <v>PrimordialGreenbloom</v>
  </rv>
  <rv s="2">
    <v>264</v>
    <v>1</v>
    <v>0</v>
    <v>0</v>
    <v>GuidetoElegance</v>
  </rv>
  <rv s="2">
    <v>128</v>
    <v>1</v>
    <v>0</v>
    <v>0</v>
    <v>SeaGanoderma</v>
  </rv>
  <rv s="2">
    <v>265</v>
    <v>1</v>
    <v>0</v>
    <v>0</v>
    <v>VayudaTurquoiseFragment</v>
  </rv>
  <rv s="2">
    <v>266</v>
    <v>1</v>
    <v>0</v>
    <v>0</v>
    <v>CompoundBow</v>
  </rv>
  <rv s="2">
    <v>267</v>
    <v>1</v>
    <v>0</v>
    <v>0</v>
    <v>BitofAerosiderite</v>
  </rv>
  <rv s="2">
    <v>268</v>
    <v>1</v>
    <v>0</v>
    <v>0</v>
    <v>Xingqiu</v>
  </rv>
  <rv s="2">
    <v>85</v>
    <v>4</v>
    <v>0</v>
    <v>0</v>
    <v>CleansingHeart</v>
  </rv>
  <rv s="2">
    <v>218</v>
    <v>4</v>
    <v>0</v>
    <v>0</v>
    <v>PhilosophiesofGold</v>
  </rv>
  <rv s="2">
    <v>169</v>
    <v>4</v>
    <v>0</v>
    <v>0</v>
    <v>SilkFlower</v>
  </rv>
  <rv s="2">
    <v>64</v>
    <v>1</v>
    <v>0</v>
    <v>0</v>
    <v>ArtificedSpareClockworkComponentCoppelia</v>
  </rv>
  <rv s="2">
    <v>80</v>
    <v>1</v>
    <v>0</v>
    <v>0</v>
    <v>Everamber</v>
  </rv>
  <rv s="2">
    <v>269</v>
    <v>1</v>
    <v>0</v>
    <v>0</v>
    <v>TeachingsofElegance</v>
  </rv>
  <rv s="2">
    <v>270</v>
    <v>1</v>
    <v>0</v>
    <v>0</v>
    <v>SangoPearl</v>
  </rv>
  <rv s="2">
    <v>271</v>
    <v>1</v>
    <v>0</v>
    <v>0</v>
    <v>VayudaTurquoiseSilver</v>
  </rv>
  <rv s="2">
    <v>272</v>
    <v>1</v>
    <v>0</v>
    <v>0</v>
    <v>CoolSteel</v>
  </rv>
  <rv s="2">
    <v>273</v>
    <v>1</v>
    <v>0</v>
    <v>0</v>
    <v>ChunkofAerosiderite</v>
  </rv>
  <rv s="2">
    <v>274</v>
    <v>1</v>
    <v>0</v>
    <v>0</v>
    <v>Aloy</v>
  </rv>
  <rv s="2">
    <v>75</v>
    <v>4</v>
    <v>0</v>
    <v>0</v>
    <v>bow</v>
  </rv>
  <rv s="2">
    <v>129</v>
    <v>4</v>
    <v>0</v>
    <v>0</v>
    <v>CrystallineBloom</v>
  </rv>
  <rv s="2">
    <v>187</v>
    <v>4</v>
    <v>0</v>
    <v>0</v>
    <v>MoltenMoment</v>
  </rv>
  <rv s="2">
    <v>15</v>
    <v>4</v>
    <v>0</v>
    <v>0</v>
    <v>PhilosophiesofFreedom</v>
  </rv>
  <rv s="2">
    <v>246</v>
    <v>4</v>
    <v>0</v>
    <v>0</v>
    <v>CrystalMarrow</v>
  </rv>
  <rv s="2">
    <v>275</v>
    <v>1</v>
    <v>0</v>
    <v>0</v>
    <v>ArtificedSpareClockworkComponentCoppelius</v>
  </rv>
  <rv s="2">
    <v>65</v>
    <v>1</v>
    <v>0</v>
    <v>0</v>
    <v>LightlessSilkString</v>
  </rv>
  <rv s="2">
    <v>66</v>
    <v>1</v>
    <v>0</v>
    <v>0</v>
    <v>PhilosophiesofLight</v>
  </rv>
  <rv s="2">
    <v>185</v>
    <v>1</v>
    <v>0</v>
    <v>0</v>
    <v>AmakumoFruit</v>
  </rv>
  <rv s="2">
    <v>140</v>
    <v>1</v>
    <v>0</v>
    <v>0</v>
    <v>ShivadaJadeGemstone</v>
  </rv>
  <rv s="2">
    <v>276</v>
    <v>1</v>
    <v>0</v>
    <v>0</v>
    <v>CranesEchoingCall</v>
  </rv>
  <rv s="2">
    <v>277</v>
    <v>1</v>
    <v>0</v>
    <v>0</v>
    <v>CoralBranchofaDistantSea</v>
  </rv>
  <rv s="2">
    <v>278</v>
    <v>1</v>
    <v>0</v>
    <v>0</v>
    <v>Amber</v>
  </rv>
  <rv s="2">
    <v>107</v>
    <v>4</v>
    <v>0</v>
    <v>0</v>
    <v>SmallLampGrass</v>
  </rv>
  <rv s="2">
    <v>279</v>
    <v>1</v>
    <v>0</v>
    <v>0</v>
    <v>EmperorsResolution</v>
  </rv>
  <rv s="2">
    <v>280</v>
    <v>1</v>
    <v>0</v>
    <v>0</v>
    <v>LightlessEyeoftheMaelstrom</v>
  </rv>
  <rv s="2">
    <v>281</v>
    <v>1</v>
    <v>0</v>
    <v>0</v>
    <v>GuidetoLight</v>
  </rv>
  <rv s="2">
    <v>282</v>
    <v>1</v>
    <v>0</v>
    <v>0</v>
    <v>FluorescentFungus</v>
  </rv>
  <rv s="2">
    <v>283</v>
    <v>1</v>
    <v>0</v>
    <v>0</v>
    <v>ShivadaJadeChunk</v>
  </rv>
  <rv s="2">
    <v>284</v>
    <v>1</v>
    <v>0</v>
    <v>0</v>
    <v>CrescentPike</v>
  </rv>
  <rv s="2">
    <v>285</v>
    <v>1</v>
    <v>0</v>
    <v>0</v>
    <v>JeweledBranchofaDistantSea</v>
  </rv>
  <rv s="2">
    <v>286</v>
    <v>1</v>
    <v>0</v>
    <v>0</v>
    <v>Collei</v>
  </rv>
  <rv s="2">
    <v>225</v>
    <v>4</v>
    <v>0</v>
    <v>0</v>
    <v>MajesticHookedBeak</v>
  </rv>
  <rv s="2">
    <v>287</v>
    <v>4</v>
    <v>0</v>
    <v>0</v>
    <v>RukkhashavaMushrooms</v>
  </rv>
  <rv s="2">
    <v>288</v>
    <v>1</v>
    <v>0</v>
    <v>0</v>
    <v>TourbillonDevice</v>
  </rv>
  <rv s="2">
    <v>99</v>
    <v>1</v>
    <v>0</v>
    <v>0</v>
    <v>LightlessMass</v>
  </rv>
  <rv s="2">
    <v>289</v>
    <v>1</v>
    <v>0</v>
    <v>0</v>
    <v>TeachingsofLight</v>
  </rv>
  <rv s="2">
    <v>287</v>
    <v>1</v>
    <v>0</v>
    <v>0</v>
    <v>RukkhashavaMushrooms</v>
  </rv>
  <rv s="2">
    <v>290</v>
    <v>1</v>
    <v>0</v>
    <v>0</v>
    <v>ShivadaJadeFragment</v>
  </rv>
  <rv s="2">
    <v>291</v>
    <v>1</v>
    <v>0</v>
    <v>0</v>
    <v>CrimsonMoonsSemblance</v>
  </rv>
  <rv s="2">
    <v>292</v>
    <v>1</v>
    <v>0</v>
    <v>0</v>
    <v>JadeBranchofaDistantSea</v>
  </rv>
  <rv s="2">
    <v>293</v>
    <v>1</v>
    <v>0</v>
    <v>0</v>
    <v>Diona</v>
  </rv>
  <rv s="2">
    <v>130</v>
    <v>4</v>
    <v>0</v>
    <v>0</v>
    <v>ShardofaFoulLegacy</v>
  </rv>
  <rv s="2">
    <v>79</v>
    <v>1</v>
    <v>0</v>
    <v>0</v>
    <v>FontemerUnihorn</v>
  </rv>
  <rv s="2">
    <v>294</v>
    <v>1</v>
    <v>0</v>
    <v>0</v>
    <v>FadingCandle</v>
  </rv>
  <rv s="2">
    <v>295</v>
    <v>1</v>
    <v>0</v>
    <v>0</v>
    <v>PhilosophiesofAdmonition</v>
  </rv>
  <rv s="2">
    <v>224</v>
    <v>1</v>
    <v>0</v>
    <v>0</v>
    <v>Padisarah</v>
  </rv>
  <rv s="2">
    <v>296</v>
    <v>1</v>
    <v>0</v>
    <v>0</v>
    <v>ShivadaJadeSilver</v>
  </rv>
  <rv s="2">
    <v>297</v>
    <v>1</v>
    <v>0</v>
    <v>0</v>
    <v>DarkIronSword</v>
  </rv>
  <rv s="2">
    <v>298</v>
    <v>1</v>
    <v>0</v>
    <v>0</v>
    <v>GoldenBranchofaDistantSea</v>
  </rv>
  <rv s="2">
    <v>299</v>
    <v>1</v>
    <v>0</v>
    <v>0</v>
    <v>Faruzan</v>
  </rv>
  <rv s="2">
    <v>244</v>
    <v>4</v>
    <v>0</v>
    <v>0</v>
    <v>LightGuidingTetrahedron</v>
  </rv>
  <rv s="2">
    <v>239</v>
    <v>4</v>
    <v>0</v>
    <v>0</v>
    <v>PuppetStrings</v>
  </rv>
  <rv s="2">
    <v>295</v>
    <v>4</v>
    <v>0</v>
    <v>0</v>
    <v>PhilosophiesofAdmonition</v>
  </rv>
  <rv s="2">
    <v>98</v>
    <v>1</v>
    <v>0</v>
    <v>0</v>
    <v>WaterThatFailedToTranscend</v>
  </rv>
  <rv s="2">
    <v>300</v>
    <v>1</v>
    <v>0</v>
    <v>0</v>
    <v>SilkenFeather</v>
  </rv>
  <rv s="2">
    <v>301</v>
    <v>1</v>
    <v>0</v>
    <v>0</v>
    <v>GuidetoAdmonition</v>
  </rv>
  <rv s="2">
    <v>207</v>
    <v>1</v>
    <v>0</v>
    <v>0</v>
    <v>NilotpalaLotus</v>
  </rv>
  <rv s="2">
    <v>9</v>
    <v>1</v>
    <v>0</v>
    <v>0</v>
    <v>PrithivaTopazGemstone</v>
  </rv>
  <rv s="2">
    <v>302</v>
    <v>1</v>
    <v>0</v>
    <v>0</v>
    <v>Deathmatch</v>
  </rv>
  <rv s="2">
    <v>303</v>
    <v>1</v>
    <v>0</v>
    <v>0</v>
    <v>NarukamisWisdom</v>
  </rv>
  <rv s="2">
    <v>304</v>
    <v>1</v>
    <v>0</v>
    <v>0</v>
    <v>Fischl</v>
  </rv>
  <rv s="2">
    <v>305</v>
    <v>1</v>
    <v>0</v>
    <v>0</v>
    <v>CloudseamScale</v>
  </rv>
  <rv s="2">
    <v>306</v>
    <v>1</v>
    <v>0</v>
    <v>0</v>
    <v>DenialandJudgment</v>
  </rv>
  <rv s="2">
    <v>307</v>
    <v>1</v>
    <v>0</v>
    <v>0</v>
    <v>TeachingsofAdmonition</v>
  </rv>
  <rv s="2">
    <v>308</v>
    <v>1</v>
    <v>0</v>
    <v>0</v>
    <v>KalpalataLotus</v>
  </rv>
  <rv s="2">
    <v>309</v>
    <v>1</v>
    <v>0</v>
    <v>0</v>
    <v>PrithivaTopazChunk</v>
  </rv>
  <rv s="2">
    <v>310</v>
    <v>1</v>
    <v>0</v>
    <v>0</v>
    <v>DebateClub</v>
  </rv>
  <rv s="2">
    <v>311</v>
    <v>1</v>
    <v>0</v>
    <v>0</v>
    <v>NarukamisJoy</v>
  </rv>
  <rv s="2">
    <v>312</v>
    <v>1</v>
    <v>0</v>
    <v>0</v>
    <v>Ganyu</v>
  </rv>
  <rv s="2">
    <v>141</v>
    <v>4</v>
    <v>0</v>
    <v>0</v>
    <v>ShadowoftheWarrior</v>
  </rv>
  <rv s="2">
    <v>191</v>
    <v>4</v>
    <v>0</v>
    <v>0</v>
    <v>Qingxin</v>
  </rv>
  <rv s="2">
    <v>313</v>
    <v>1</v>
    <v>0</v>
    <v>0</v>
    <v>FragmentofaGoldenMelody</v>
  </rv>
  <rv s="2">
    <v>27</v>
    <v>1</v>
    <v>0</v>
    <v>0</v>
    <v>PhilosophiesofIngenuity</v>
  </rv>
  <rv s="2">
    <v>68</v>
    <v>1</v>
    <v>0</v>
    <v>0</v>
    <v>HennaBerry</v>
  </rv>
  <rv s="2">
    <v>314</v>
    <v>1</v>
    <v>0</v>
    <v>0</v>
    <v>PrithivaTopazFragment</v>
  </rv>
  <rv s="2">
    <v>315</v>
    <v>1</v>
    <v>0</v>
    <v>0</v>
    <v>DialoguesoftheDesertSages</v>
  </rv>
  <rv s="2">
    <v>316</v>
    <v>1</v>
    <v>0</v>
    <v>0</v>
    <v>NarukamisAffection</v>
  </rv>
  <rv s="2">
    <v>317</v>
    <v>1</v>
    <v>0</v>
    <v>0</v>
    <v>Gorou</v>
  </rv>
  <rv s="2">
    <v>270</v>
    <v>4</v>
    <v>0</v>
    <v>0</v>
    <v>SangoPearl</v>
  </rv>
  <rv s="2">
    <v>318</v>
    <v>1</v>
    <v>0</v>
    <v>0</v>
    <v>GuidetoIngenuity</v>
  </rv>
  <rv s="2">
    <v>29</v>
    <v>1</v>
    <v>0</v>
    <v>0</v>
    <v>SandGreasePupa</v>
  </rv>
  <rv s="2">
    <v>319</v>
    <v>1</v>
    <v>0</v>
    <v>0</v>
    <v>PrithivaTopazSilver</v>
  </rv>
  <rv s="2">
    <v>320</v>
    <v>1</v>
    <v>0</v>
    <v>0</v>
    <v>DodocoTales</v>
  </rv>
  <rv s="2">
    <v>321</v>
    <v>1</v>
    <v>0</v>
    <v>0</v>
    <v>NarukamisValor</v>
  </rv>
  <rv s="2">
    <v>322</v>
    <v>1</v>
    <v>0</v>
    <v>0</v>
    <v>KujouSara</v>
  </rv>
  <rv s="2">
    <v>186</v>
    <v>4</v>
    <v>0</v>
    <v>0</v>
    <v>StormBeads</v>
  </rv>
  <rv s="2">
    <v>209</v>
    <v>4</v>
    <v>0</v>
    <v>0</v>
    <v>AshenHeart</v>
  </rv>
  <rv s="2">
    <v>254</v>
    <v>4</v>
    <v>0</v>
    <v>0</v>
    <v>Dendrobium</v>
  </rv>
  <rv s="2">
    <v>323</v>
    <v>1</v>
    <v>0</v>
    <v>0</v>
    <v>TeachingsofIngenuity</v>
  </rv>
  <rv s="2">
    <v>324</v>
    <v>1</v>
    <v>0</v>
    <v>0</v>
    <v>MourningFlower</v>
  </rv>
  <rv s="2">
    <v>325</v>
    <v>1</v>
    <v>0</v>
    <v>0</v>
    <v>DragonsBane</v>
  </rv>
  <rv s="2">
    <v>326</v>
    <v>1</v>
    <v>0</v>
    <v>0</v>
    <v>MaskoftheWickedLieutenant</v>
  </rv>
  <rv s="2">
    <v>327</v>
    <v>1</v>
    <v>0</v>
    <v>0</v>
    <v>Lyney</v>
  </rv>
  <rv s="2">
    <v>279</v>
    <v>4</v>
    <v>0</v>
    <v>0</v>
    <v>EmperorsResolution</v>
  </rv>
  <rv s="2">
    <v>263</v>
    <v>4</v>
    <v>0</v>
    <v>0</v>
    <v>PrimordialGreenbloom</v>
  </rv>
  <rv s="2">
    <v>328</v>
    <v>4</v>
    <v>0</v>
    <v>0</v>
    <v>PhilosophiesofEquity</v>
  </rv>
  <rv s="2">
    <v>87</v>
    <v>4</v>
    <v>0</v>
    <v>0</v>
    <v>LieutenantsInsignia</v>
  </rv>
  <rv s="2">
    <v>329</v>
    <v>4</v>
    <v>0</v>
    <v>0</v>
    <v>RainbowRose</v>
  </rv>
  <rv s="2">
    <v>223</v>
    <v>1</v>
    <v>0</v>
    <v>0</v>
    <v>PhilosophiesofPraxis</v>
  </rv>
  <rv s="2">
    <v>330</v>
    <v>1</v>
    <v>0</v>
    <v>0</v>
    <v>Trishiraite</v>
  </rv>
  <rv s="2">
    <v>331</v>
    <v>1</v>
    <v>0</v>
    <v>0</v>
    <v>DragonspineSpear</v>
  </rv>
  <rv s="2">
    <v>332</v>
    <v>1</v>
    <v>0</v>
    <v>0</v>
    <v>MaskoftheTigersBite</v>
  </rv>
  <rv s="2">
    <v>333</v>
    <v>1</v>
    <v>0</v>
    <v>0</v>
    <v>Sethos</v>
  </rv>
  <rv s="2">
    <v>305</v>
    <v>4</v>
    <v>0</v>
    <v>0</v>
    <v>CloudseamScale</v>
  </rv>
  <rv s="2">
    <v>252</v>
    <v>4</v>
    <v>0</v>
    <v>0</v>
    <v>DakasBell</v>
  </rv>
  <rv s="2">
    <v>330</v>
    <v>4</v>
    <v>0</v>
    <v>0</v>
    <v>Trishiraite</v>
  </rv>
  <rv s="2">
    <v>334</v>
    <v>1</v>
    <v>0</v>
    <v>0</v>
    <v>GuidetoPraxis</v>
  </rv>
  <rv s="2">
    <v>335</v>
    <v>1</v>
    <v>0</v>
    <v>0</v>
    <v>Scarab</v>
  </rv>
  <rv s="2">
    <v>336</v>
    <v>1</v>
    <v>0</v>
    <v>0</v>
    <v>ElegyfortheEnd</v>
  </rv>
  <rv s="2">
    <v>337</v>
    <v>1</v>
    <v>0</v>
    <v>0</v>
    <v>MaskoftheOneHorned</v>
  </rv>
  <rv s="2">
    <v>338</v>
    <v>1</v>
    <v>0</v>
    <v>0</v>
    <v>Tartaglia</v>
  </rv>
  <rv s="2">
    <v>201</v>
    <v>4</v>
    <v>0</v>
    <v>0</v>
    <v>Starconch</v>
  </rv>
  <rv s="2">
    <v>339</v>
    <v>1</v>
    <v>0</v>
    <v>0</v>
    <v>TeachingsofPraxis</v>
  </rv>
  <rv s="2">
    <v>340</v>
    <v>1</v>
    <v>0</v>
    <v>0</v>
    <v>BerylConch</v>
  </rv>
  <rv s="2">
    <v>341</v>
    <v>1</v>
    <v>0</v>
    <v>0</v>
    <v>EmeraldOrb</v>
  </rv>
  <rv s="2">
    <v>342</v>
    <v>1</v>
    <v>0</v>
    <v>0</v>
    <v>MaskoftheKijin</v>
  </rv>
  <rv s="2">
    <v>343</v>
    <v>1</v>
    <v>0</v>
    <v>0</v>
    <v>Tighnari</v>
  </rv>
  <rv s="2">
    <v>232</v>
    <v>4</v>
    <v>0</v>
    <v>0</v>
    <v>TheMeaningofAeons</v>
  </rv>
  <rv s="2">
    <v>328</v>
    <v>1</v>
    <v>0</v>
    <v>0</v>
    <v>PhilosophiesofEquity</v>
  </rv>
  <rv s="2">
    <v>344</v>
    <v>1</v>
    <v>0</v>
    <v>0</v>
    <v>RomaritimeFlower</v>
  </rv>
  <rv s="2">
    <v>345</v>
    <v>1</v>
    <v>0</v>
    <v>0</v>
    <v>EndoftheLine</v>
  </rv>
  <rv s="2">
    <v>346</v>
    <v>1</v>
    <v>0</v>
    <v>0</v>
    <v>CopperTalismanoftheForestDew</v>
  </rv>
  <rv s="2">
    <v>347</v>
    <v>1</v>
    <v>0</v>
    <v>0</v>
    <v>Venti</v>
  </rv>
  <rv s="2">
    <v>12</v>
    <v>4</v>
    <v>0</v>
    <v>0</v>
    <v>SlimeConcentrate</v>
  </rv>
  <rv s="2">
    <v>348</v>
    <v>1</v>
    <v>0</v>
    <v>0</v>
    <v>GuidetoEquity</v>
  </rv>
  <rv s="2">
    <v>217</v>
    <v>1</v>
    <v>0</v>
    <v>0</v>
    <v>LumidouceBell</v>
  </rv>
  <rv s="2">
    <v>349</v>
    <v>1</v>
    <v>0</v>
    <v>0</v>
    <v>EngulfingLightning</v>
  </rv>
  <rv s="2">
    <v>350</v>
    <v>1</v>
    <v>0</v>
    <v>0</v>
    <v>IronTalismanoftheForestDew</v>
  </rv>
  <rv s="2">
    <v>351</v>
    <v>1</v>
    <v>0</v>
    <v>0</v>
    <v>Yelan</v>
  </rv>
  <rv s="2">
    <v>352</v>
    <v>1</v>
    <v>0</v>
    <v>0</v>
    <v>TeachingsofEquity</v>
  </rv>
  <rv s="2">
    <v>329</v>
    <v>1</v>
    <v>0</v>
    <v>0</v>
    <v>RainbowRose</v>
  </rv>
  <rv s="2">
    <v>353</v>
    <v>1</v>
    <v>0</v>
    <v>0</v>
    <v>EverlastingMoonglow</v>
  </rv>
  <rv s="2">
    <v>354</v>
    <v>1</v>
    <v>0</v>
    <v>0</v>
    <v>SilverTalismanoftheForestDew</v>
  </rv>
  <rv s="2">
    <v>355</v>
    <v>1</v>
    <v>0</v>
    <v>0</v>
    <v>Yoimiya</v>
  </rv>
  <rv s="2">
    <v>165</v>
    <v>4</v>
    <v>0</v>
    <v>0</v>
    <v>SmolderingPearl</v>
  </rv>
  <rv s="2">
    <v>81</v>
    <v>1</v>
    <v>0</v>
    <v>0</v>
    <v>PhilosophiesofJustice</v>
  </rv>
  <rv s="2">
    <v>83</v>
    <v>1</v>
    <v>0</v>
    <v>0</v>
    <v>Lumitoile</v>
  </rv>
  <rv s="2">
    <v>356</v>
    <v>1</v>
    <v>0</v>
    <v>0</v>
    <v>EyeofPerception</v>
  </rv>
  <rv s="2">
    <v>357</v>
    <v>1</v>
    <v>0</v>
    <v>0</v>
    <v>GoldenTalismanoftheForestDew</v>
  </rv>
  <rv s="2">
    <v>358</v>
    <v>1</v>
    <v>0</v>
    <v>0</v>
    <v>AratakiItto</v>
  </rv>
  <rv s="2">
    <v>40</v>
    <v>4</v>
    <v>0</v>
    <v>0</v>
    <v>claymore</v>
  </rv>
  <rv s="2">
    <v>198</v>
    <v>4</v>
    <v>0</v>
    <v>0</v>
    <v>RiftbornRegalia</v>
  </rv>
  <rv s="2">
    <v>234</v>
    <v>4</v>
    <v>0</v>
    <v>0</v>
    <v>Onikabuto</v>
  </rv>
  <rv s="2">
    <v>359</v>
    <v>1</v>
    <v>0</v>
    <v>0</v>
    <v>GuidetoJustice</v>
  </rv>
  <rv s="2">
    <v>101</v>
    <v>1</v>
    <v>0</v>
    <v>0</v>
    <v>LakelightLily</v>
  </rv>
  <rv s="2">
    <v>360</v>
    <v>1</v>
    <v>0</v>
    <v>0</v>
    <v>FadingTwilight</v>
  </rv>
  <rv s="2">
    <v>361</v>
    <v>1</v>
    <v>0</v>
    <v>0</v>
    <v>OasisGardensReminiscence</v>
  </rv>
  <rv s="2">
    <v>362</v>
    <v>1</v>
    <v>0</v>
    <v>0</v>
    <v>Beidou</v>
  </rv>
  <rv s="2">
    <v>158</v>
    <v>4</v>
    <v>0</v>
    <v>0</v>
    <v>NoctilucousJade</v>
  </rv>
  <rv s="2">
    <v>363</v>
    <v>1</v>
    <v>0</v>
    <v>0</v>
    <v>TeachingsofJustice</v>
  </rv>
  <rv s="2">
    <v>364</v>
    <v>1</v>
    <v>0</v>
    <v>0</v>
    <v>SubdetectionUnit</v>
  </rv>
  <rv s="2">
    <v>365</v>
    <v>1</v>
    <v>0</v>
    <v>0</v>
    <v>FavoniusCodex</v>
  </rv>
  <rv s="2">
    <v>366</v>
    <v>1</v>
    <v>0</v>
    <v>0</v>
    <v>OasisGardensKindness</v>
  </rv>
  <rv s="2">
    <v>367</v>
    <v>1</v>
    <v>0</v>
    <v>0</v>
    <v>Chongyun</v>
  </rv>
  <rv s="2">
    <v>216</v>
    <v>1</v>
    <v>0</v>
    <v>0</v>
    <v>PhilosophiesofOrder</v>
  </rv>
  <rv s="2">
    <v>368</v>
    <v>1</v>
    <v>0</v>
    <v>0</v>
    <v>SpringoftheFirstDewdrop</v>
  </rv>
  <rv s="2">
    <v>369</v>
    <v>1</v>
    <v>0</v>
    <v>0</v>
    <v>FavoniusGreatsword</v>
  </rv>
  <rv s="2">
    <v>370</v>
    <v>1</v>
    <v>0</v>
    <v>0</v>
    <v>OasisGardensMourning</v>
  </rv>
  <rv s="2">
    <v>371</v>
    <v>1</v>
    <v>0</v>
    <v>0</v>
    <v>Dehya</v>
  </rv>
  <rv s="2">
    <v>372</v>
    <v>1</v>
    <v>0</v>
    <v>0</v>
    <v>GuidetoOrder</v>
  </rv>
  <rv s="2">
    <v>373</v>
    <v>1</v>
    <v>0</v>
    <v>0</v>
    <v>FavoniusLance</v>
  </rv>
  <rv s="2">
    <v>374</v>
    <v>1</v>
    <v>0</v>
    <v>0</v>
    <v>OasisGardensTruth</v>
  </rv>
  <rv s="2">
    <v>375</v>
    <v>1</v>
    <v>0</v>
    <v>0</v>
    <v>Diluc</v>
  </rv>
  <rv s="2">
    <v>376</v>
    <v>1</v>
    <v>0</v>
    <v>0</v>
    <v>TeachingsofOrder</v>
  </rv>
  <rv s="2">
    <v>377</v>
    <v>1</v>
    <v>0</v>
    <v>0</v>
    <v>FavoniusSword</v>
  </rv>
  <rv s="2">
    <v>378</v>
    <v>1</v>
    <v>0</v>
    <v>0</v>
    <v>EchoofScorchingMight</v>
  </rv>
  <rv s="2">
    <v>379</v>
    <v>1</v>
    <v>0</v>
    <v>0</v>
    <v>Dori</v>
  </rv>
  <rv s="2">
    <v>231</v>
    <v>4</v>
    <v>0</v>
    <v>0</v>
    <v>ThunderclapFruitcore</v>
  </rv>
  <rv s="2">
    <v>308</v>
    <v>4</v>
    <v>0</v>
    <v>0</v>
    <v>KalpalataLotus</v>
  </rv>
  <rv s="2">
    <v>380</v>
    <v>1</v>
    <v>0</v>
    <v>0</v>
    <v>FavoniusWarbow</v>
  </rv>
  <rv s="2">
    <v>381</v>
    <v>1</v>
    <v>0</v>
    <v>0</v>
    <v>RemnantGlowofScorchingMight</v>
  </rv>
  <rv s="2">
    <v>382</v>
    <v>1</v>
    <v>0</v>
    <v>0</v>
    <v>Eula</v>
  </rv>
  <rv s="2">
    <v>383</v>
    <v>1</v>
    <v>0</v>
    <v>0</v>
    <v>FerrousShadow</v>
  </rv>
  <rv s="2">
    <v>384</v>
    <v>1</v>
    <v>0</v>
    <v>0</v>
    <v>DreamofScorchingMight</v>
  </rv>
  <rv s="2">
    <v>385</v>
    <v>1</v>
    <v>0</v>
    <v>0</v>
    <v>Freminet</v>
  </rv>
  <rv s="2">
    <v>275</v>
    <v>4</v>
    <v>0</v>
    <v>0</v>
    <v>ArtificedSpareClockworkComponentCoppelius</v>
  </rv>
  <rv s="2">
    <v>344</v>
    <v>4</v>
    <v>0</v>
    <v>0</v>
    <v>RomaritimeFlower</v>
  </rv>
  <rv s="2">
    <v>386</v>
    <v>1</v>
    <v>0</v>
    <v>0</v>
    <v>FesteringDesire</v>
  </rv>
  <rv s="2">
    <v>387</v>
    <v>1</v>
    <v>0</v>
    <v>0</v>
    <v>OldenDaysofScorchingMight</v>
  </rv>
  <rv s="2">
    <v>388</v>
    <v>1</v>
    <v>0</v>
    <v>0</v>
    <v>Gaming</v>
  </rv>
  <rv s="2">
    <v>389</v>
    <v>1</v>
    <v>0</v>
    <v>0</v>
    <v>FilletBlade</v>
  </rv>
  <rv s="2">
    <v>390</v>
    <v>1</v>
    <v>0</v>
    <v>0</v>
    <v>FragmentofanAncientChord</v>
  </rv>
  <rv s="2">
    <v>391</v>
    <v>1</v>
    <v>0</v>
    <v>0</v>
    <v>Kaveh</v>
  </rv>
  <rv s="2">
    <v>251</v>
    <v>4</v>
    <v>0</v>
    <v>0</v>
    <v>QuelledCreeper</v>
  </rv>
  <rv s="2">
    <v>324</v>
    <v>4</v>
    <v>0</v>
    <v>0</v>
    <v>MourningFlower</v>
  </rv>
  <rv s="2">
    <v>392</v>
    <v>1</v>
    <v>0</v>
    <v>0</v>
    <v>FinaleoftheDeep</v>
  </rv>
  <rv s="2">
    <v>393</v>
    <v>1</v>
    <v>0</v>
    <v>0</v>
    <v>ChapterofanAncientChord</v>
  </rv>
  <rv s="2">
    <v>394</v>
    <v>1</v>
    <v>0</v>
    <v>0</v>
    <v>Navia</v>
  </rv>
  <rv s="2">
    <v>368</v>
    <v>4</v>
    <v>0</v>
    <v>0</v>
    <v>SpringoftheFirstDewdrop</v>
  </rv>
  <rv s="2">
    <v>395</v>
    <v>1</v>
    <v>0</v>
    <v>0</v>
    <v>FleuveCendreFerryman</v>
  </rv>
  <rv s="2">
    <v>396</v>
    <v>1</v>
    <v>0</v>
    <v>0</v>
    <v>MovementofanAncientChord</v>
  </rv>
  <rv s="2">
    <v>397</v>
    <v>1</v>
    <v>0</v>
    <v>0</v>
    <v>Noelle</v>
  </rv>
  <rv s="2">
    <v>32</v>
    <v>4</v>
    <v>0</v>
    <v>0</v>
    <v>DvalinsClaw</v>
  </rv>
  <rv s="2">
    <v>37</v>
    <v>4</v>
    <v>0</v>
    <v>0</v>
    <v>Valberry</v>
  </rv>
  <rv s="2">
    <v>398</v>
    <v>1</v>
    <v>0</v>
    <v>0</v>
    <v>FlowingPurity</v>
  </rv>
  <rv s="2">
    <v>399</v>
    <v>1</v>
    <v>0</v>
    <v>0</v>
    <v>EchoofanAncientChord</v>
  </rv>
  <rv s="2">
    <v>400</v>
    <v>1</v>
    <v>0</v>
    <v>0</v>
    <v>Razor</v>
  </rv>
  <rv s="2">
    <v>16</v>
    <v>4</v>
    <v>0</v>
    <v>0</v>
    <v>Wolfhook</v>
  </rv>
  <rv s="2">
    <v>401</v>
    <v>1</v>
    <v>0</v>
    <v>0</v>
    <v>ForestRegalia</v>
  </rv>
  <rv s="2">
    <v>402</v>
    <v>1</v>
    <v>0</v>
    <v>0</v>
    <v>DrossofPureSacredDewdrop</v>
  </rv>
  <rv s="2">
    <v>403</v>
    <v>1</v>
    <v>0</v>
    <v>0</v>
    <v>Sayu</v>
  </rv>
  <rv s="2">
    <v>404</v>
    <v>1</v>
    <v>0</v>
    <v>0</v>
    <v>FreedomSworn</v>
  </rv>
  <rv s="2">
    <v>405</v>
    <v>1</v>
    <v>0</v>
    <v>0</v>
    <v>SublimationofPureSacredDewdrop</v>
  </rv>
  <rv s="2">
    <v>406</v>
    <v>1</v>
    <v>0</v>
    <v>0</v>
    <v>Xinyan</v>
  </rv>
  <rv s="2">
    <v>407</v>
    <v>1</v>
    <v>0</v>
    <v>0</v>
    <v>Frostbearer</v>
  </rv>
  <rv s="2">
    <v>408</v>
    <v>1</v>
    <v>0</v>
    <v>0</v>
    <v>SpringofPureSacredDewdrop</v>
  </rv>
  <rv s="2">
    <v>409</v>
    <v>1</v>
    <v>0</v>
    <v>0</v>
    <v>Arlecchino</v>
  </rv>
  <rv s="2">
    <v>58</v>
    <v>4</v>
    <v>0</v>
    <v>0</v>
    <v>polearm</v>
  </rv>
  <rv s="2">
    <v>313</v>
    <v>4</v>
    <v>0</v>
    <v>0</v>
    <v>FragmentofaGoldenMelody</v>
  </rv>
  <rv s="2">
    <v>294</v>
    <v>4</v>
    <v>0</v>
    <v>0</v>
    <v>FadingCandle</v>
  </rv>
  <rv s="2">
    <v>410</v>
    <v>1</v>
    <v>0</v>
    <v>0</v>
    <v>FruitofFulfillment</v>
  </rv>
  <rv s="2">
    <v>411</v>
    <v>1</v>
    <v>0</v>
    <v>0</v>
    <v>EssenceofPureSacredDewdrop</v>
  </rv>
  <rv s="2">
    <v>412</v>
    <v>1</v>
    <v>0</v>
    <v>0</v>
    <v>Baizhu</v>
  </rv>
  <rv s="2">
    <v>93</v>
    <v>4</v>
    <v>0</v>
    <v>0</v>
    <v>catalyst</v>
  </rv>
  <rv s="2">
    <v>413</v>
    <v>1</v>
    <v>0</v>
    <v>0</v>
    <v>HakushinRing</v>
  </rv>
  <rv s="2">
    <v>414</v>
    <v>1</v>
    <v>0</v>
    <v>0</v>
    <v>BrokenGobletofthePristineSea</v>
  </rv>
  <rv s="2">
    <v>415</v>
    <v>1</v>
    <v>0</v>
    <v>0</v>
    <v>Barbara</v>
  </rv>
  <rv s="2">
    <v>91</v>
    <v>4</v>
    <v>0</v>
    <v>0</v>
    <v>PhilanemoMushroom</v>
  </rv>
  <rv s="2">
    <v>416</v>
    <v>1</v>
    <v>0</v>
    <v>0</v>
    <v>Halberd</v>
  </rv>
  <rv s="2">
    <v>417</v>
    <v>1</v>
    <v>0</v>
    <v>0</v>
    <v>WineGobletofthePristineSea</v>
  </rv>
  <rv s="2">
    <v>418</v>
    <v>1</v>
    <v>0</v>
    <v>0</v>
    <v>Charlotte</v>
  </rv>
  <rv s="2">
    <v>288</v>
    <v>4</v>
    <v>0</v>
    <v>0</v>
    <v>TourbillonDevice</v>
  </rv>
  <rv s="2">
    <v>340</v>
    <v>4</v>
    <v>0</v>
    <v>0</v>
    <v>BerylConch</v>
  </rv>
  <rv s="2">
    <v>419</v>
    <v>1</v>
    <v>0</v>
    <v>0</v>
    <v>Hamayumi</v>
  </rv>
  <rv s="2">
    <v>420</v>
    <v>1</v>
    <v>0</v>
    <v>0</v>
    <v>SilverGobletofthePristineSea</v>
  </rv>
  <rv s="2">
    <v>421</v>
    <v>1</v>
    <v>0</v>
    <v>0</v>
    <v>Klee</v>
  </rv>
  <rv s="2">
    <v>422</v>
    <v>1</v>
    <v>0</v>
    <v>0</v>
    <v>HaranGeppakuFutsu</v>
  </rv>
  <rv s="2">
    <v>423</v>
    <v>1</v>
    <v>0</v>
    <v>0</v>
    <v>GoldenGobletofthePristineSea</v>
  </rv>
  <rv s="2">
    <v>424</v>
    <v>1</v>
    <v>0</v>
    <v>0</v>
    <v>Lisa</v>
  </rv>
  <rv s="2">
    <v>425</v>
    <v>1</v>
    <v>0</v>
    <v>0</v>
    <v>HarbingerofDawn</v>
  </rv>
  <rv s="2">
    <v>426</v>
    <v>1</v>
    <v>0</v>
    <v>0</v>
    <v>Mona</v>
  </rv>
  <rv s="2">
    <v>427</v>
    <v>1</v>
    <v>0</v>
    <v>0</v>
    <v>HuntersPath</v>
  </rv>
  <rv s="2">
    <v>428</v>
    <v>1</v>
    <v>0</v>
    <v>0</v>
    <v>Nahida</v>
  </rv>
  <rv s="2">
    <v>429</v>
    <v>1</v>
    <v>0</v>
    <v>0</v>
    <v>IbisPiercer</v>
  </rv>
  <rv s="2">
    <v>430</v>
    <v>1</v>
    <v>0</v>
    <v>0</v>
    <v>Neuvillette</v>
  </rv>
  <rv s="2">
    <v>431</v>
    <v>1</v>
    <v>0</v>
    <v>0</v>
    <v>IronSting</v>
  </rv>
  <rv s="2">
    <v>432</v>
    <v>1</v>
    <v>0</v>
    <v>0</v>
    <v>Ningguang</v>
  </rv>
  <rv s="2">
    <v>178</v>
    <v>4</v>
    <v>0</v>
    <v>0</v>
    <v>GlazeLily</v>
  </rv>
  <rv s="2">
    <v>433</v>
    <v>1</v>
    <v>0</v>
    <v>0</v>
    <v>JadefallsSplendor</v>
  </rv>
  <rv s="2">
    <v>434</v>
    <v>1</v>
    <v>0</v>
    <v>0</v>
    <v>SangonomiyaKokomi</v>
  </rv>
  <rv s="2">
    <v>199</v>
    <v>4</v>
    <v>0</v>
    <v>0</v>
    <v>HellfireButterfly</v>
  </rv>
  <rv s="2">
    <v>435</v>
    <v>1</v>
    <v>0</v>
    <v>0</v>
    <v>KagotsurubeIsshin</v>
  </rv>
  <rv s="2">
    <v>436</v>
    <v>1</v>
    <v>0</v>
    <v>0</v>
    <v>ShikanoinHeizou</v>
  </rv>
  <rv s="2">
    <v>437</v>
    <v>1</v>
    <v>0</v>
    <v>0</v>
    <v>KagurasVerity</v>
  </rv>
  <rv s="2">
    <v>438</v>
    <v>1</v>
    <v>0</v>
    <v>0</v>
    <v>Sucrose</v>
  </rv>
  <rv s="2">
    <v>439</v>
    <v>1</v>
    <v>0</v>
    <v>0</v>
    <v>KatsuragikiriNagamasa</v>
  </rv>
  <rv s="2">
    <v>440</v>
    <v>1</v>
    <v>0</v>
    <v>0</v>
    <v>Wanderer</v>
  </rv>
  <rv s="2">
    <v>441</v>
    <v>1</v>
    <v>0</v>
    <v>0</v>
    <v>KeyofKhajNisut</v>
  </rv>
  <rv s="2">
    <v>442</v>
    <v>1</v>
    <v>0</v>
    <v>0</v>
    <v>Wriothesley</v>
  </rv>
  <rv s="2">
    <v>364</v>
    <v>4</v>
    <v>0</v>
    <v>0</v>
    <v>SubdetectionUnit</v>
  </rv>
  <rv s="2">
    <v>443</v>
    <v>1</v>
    <v>0</v>
    <v>0</v>
    <v>KingsSquire</v>
  </rv>
  <rv s="2">
    <v>444</v>
    <v>1</v>
    <v>0</v>
    <v>0</v>
    <v>Xianyun</v>
  </rv>
  <rv s="2">
    <v>280</v>
    <v>4</v>
    <v>0</v>
    <v>0</v>
    <v>LightlessEyeoftheMaelstrom</v>
  </rv>
  <rv s="2">
    <v>227</v>
    <v>4</v>
    <v>0</v>
    <v>0</v>
    <v>ClearwaterJade</v>
  </rv>
  <rv s="2">
    <v>445</v>
    <v>1</v>
    <v>0</v>
    <v>0</v>
    <v>KitainCrossSpear</v>
  </rv>
  <rv s="2">
    <v>446</v>
    <v>1</v>
    <v>0</v>
    <v>0</v>
    <v>YaeMiko</v>
  </rv>
  <rv s="2">
    <v>208</v>
    <v>4</v>
    <v>0</v>
    <v>0</v>
    <v>DragonheirsFalseFin</v>
  </rv>
  <rv s="2">
    <v>447</v>
    <v>1</v>
    <v>0</v>
    <v>0</v>
    <v>LightofFoliarIncision</v>
  </rv>
  <rv s="2">
    <v>448</v>
    <v>1</v>
    <v>0</v>
    <v>0</v>
    <v>Yanfei</v>
  </rv>
  <rv s="2">
    <v>115</v>
    <v>4</v>
    <v>0</v>
    <v>0</v>
    <v>JuvenileJade</v>
  </rv>
  <rv s="2">
    <v>449</v>
    <v>1</v>
    <v>0</v>
    <v>0</v>
    <v>LionsRoar</v>
  </rv>
  <rv s="2">
    <v>450</v>
    <v>1</v>
    <v>0</v>
    <v>0</v>
    <v>Candace</v>
  </rv>
  <rv s="2">
    <v>451</v>
    <v>1</v>
    <v>0</v>
    <v>0</v>
    <v>LithicBlade</v>
  </rv>
  <rv s="2">
    <v>452</v>
    <v>1</v>
    <v>0</v>
    <v>0</v>
    <v>Chevreuse</v>
  </rv>
  <rv s="2">
    <v>453</v>
    <v>1</v>
    <v>0</v>
    <v>0</v>
    <v>LithicSpear</v>
  </rv>
  <rv s="2">
    <v>454</v>
    <v>1</v>
    <v>0</v>
    <v>0</v>
    <v>Cyno</v>
  </rv>
  <rv s="2">
    <v>335</v>
    <v>4</v>
    <v>0</v>
    <v>0</v>
    <v>Scarab</v>
  </rv>
  <rv s="2">
    <v>455</v>
    <v>1</v>
    <v>0</v>
    <v>0</v>
    <v>LostPrayertotheSacredWinds</v>
  </rv>
  <rv s="2">
    <v>456</v>
    <v>1</v>
    <v>0</v>
    <v>0</v>
    <v>HuTao</v>
  </rv>
  <rv s="2">
    <v>457</v>
    <v>1</v>
    <v>0</v>
    <v>0</v>
    <v>LuxuriousSeaLord</v>
  </rv>
  <rv s="2">
    <v>458</v>
    <v>1</v>
    <v>0</v>
    <v>0</v>
    <v>Mika</v>
  </rv>
  <rv s="2">
    <v>459</v>
    <v>1</v>
    <v>0</v>
    <v>0</v>
    <v>MagicGuide</v>
  </rv>
  <rv s="2">
    <v>460</v>
    <v>1</v>
    <v>0</v>
    <v>0</v>
    <v>RaidenShogun</v>
  </rv>
  <rv s="2">
    <v>461</v>
    <v>1</v>
    <v>0</v>
    <v>0</v>
    <v>MailedFlower</v>
  </rv>
  <rv s="2">
    <v>462</v>
    <v>1</v>
    <v>0</v>
    <v>0</v>
    <v>Rosaria</v>
  </rv>
  <rv s="2">
    <v>463</v>
    <v>1</v>
    <v>0</v>
    <v>0</v>
    <v>MakhairaAquamarine</v>
  </rv>
  <rv s="2">
    <v>464</v>
    <v>1</v>
    <v>0</v>
    <v>0</v>
    <v>Shenhe</v>
  </rv>
  <rv s="2">
    <v>465</v>
    <v>1</v>
    <v>0</v>
    <v>0</v>
    <v>MappaMare</v>
  </rv>
  <rv s="2">
    <v>466</v>
    <v>1</v>
    <v>0</v>
    <v>0</v>
    <v>Thoma</v>
  </rv>
  <rv s="2">
    <v>282</v>
    <v>4</v>
    <v>0</v>
    <v>0</v>
    <v>FluorescentFungus</v>
  </rv>
  <rv s="2">
    <v>467</v>
    <v>1</v>
    <v>0</v>
    <v>0</v>
    <v>MemoryofDust</v>
  </rv>
  <rv s="2">
    <v>468</v>
    <v>1</v>
    <v>0</v>
    <v>0</v>
    <v>Xiangling</v>
  </rv>
  <rv s="2">
    <v>145</v>
    <v>4</v>
    <v>0</v>
    <v>0</v>
    <v>JueyunChili</v>
  </rv>
  <rv s="2">
    <v>469</v>
    <v>1</v>
    <v>0</v>
    <v>0</v>
    <v>Messenger</v>
  </rv>
  <rv s="2">
    <v>470</v>
    <v>1</v>
    <v>0</v>
    <v>0</v>
    <v>Xiao</v>
  </rv>
  <rv s="2">
    <v>471</v>
    <v>1</v>
    <v>0</v>
    <v>0</v>
    <v>MissiveWindspear</v>
  </rv>
  <rv s="2">
    <v>472</v>
    <v>1</v>
    <v>0</v>
    <v>0</v>
    <v>Yaoyao</v>
  </rv>
  <rv s="2">
    <v>473</v>
    <v>1</v>
    <v>0</v>
    <v>0</v>
    <v>MistsplitterReforged</v>
  </rv>
  <rv s="2">
    <v>474</v>
    <v>1</v>
    <v>0</v>
    <v>0</v>
    <v>YunJin</v>
  </rv>
  <rv s="2">
    <v>475</v>
    <v>1</v>
    <v>0</v>
    <v>0</v>
    <v>MitternachtsWaltz</v>
  </rv>
  <rv s="2">
    <v>476</v>
    <v>1</v>
    <v>0</v>
    <v>0</v>
    <v>Zhongli</v>
  </rv>
  <rv s="2">
    <v>477</v>
    <v>1</v>
    <v>0</v>
    <v>0</v>
    <v>Moonpiercer</v>
  </rv>
  <rv s="2">
    <v>478</v>
    <v>1</v>
    <v>0</v>
    <v>0</v>
    <v>MouunsMoon</v>
  </rv>
  <rv s="2">
    <v>479</v>
    <v>1</v>
    <v>0</v>
    <v>0</v>
    <v>OathswornEye</v>
  </rv>
  <rv s="2">
    <v>480</v>
    <v>1</v>
    <v>0</v>
    <v>0</v>
    <v>OtherworldlyStory</v>
  </rv>
  <rv s="2">
    <v>481</v>
    <v>1</v>
    <v>0</v>
    <v>0</v>
    <v>PolarStar</v>
  </rv>
  <rv s="2">
    <v>482</v>
    <v>1</v>
    <v>0</v>
    <v>0</v>
    <v>PortablePowerSaw</v>
  </rv>
  <rv s="2">
    <v>483</v>
    <v>1</v>
    <v>0</v>
    <v>0</v>
    <v>Predator</v>
  </rv>
  <rv s="2">
    <v>484</v>
    <v>1</v>
    <v>0</v>
    <v>0</v>
    <v>PrimordialJadeCutter</v>
  </rv>
  <rv s="2">
    <v>485</v>
    <v>1</v>
    <v>0</v>
    <v>0</v>
    <v>PrimordialJadeWingedSpear</v>
  </rv>
  <rv s="2">
    <v>486</v>
    <v>1</v>
    <v>0</v>
    <v>0</v>
    <v>ProspectorsDrill</v>
  </rv>
  <rv s="2">
    <v>487</v>
    <v>1</v>
    <v>0</v>
    <v>0</v>
    <v>PrototypeAmber</v>
  </rv>
  <rv s="2">
    <v>488</v>
    <v>1</v>
    <v>0</v>
    <v>0</v>
    <v>PrototypeArchaic</v>
  </rv>
  <rv s="2">
    <v>489</v>
    <v>1</v>
    <v>0</v>
    <v>0</v>
    <v>PrototypeCrescent</v>
  </rv>
  <rv s="2">
    <v>490</v>
    <v>1</v>
    <v>0</v>
    <v>0</v>
    <v>PrototypeRancour</v>
  </rv>
  <rv s="2">
    <v>491</v>
    <v>1</v>
    <v>0</v>
    <v>0</v>
    <v>PrototypeStarglitter</v>
  </rv>
  <rv s="2">
    <v>492</v>
    <v>1</v>
    <v>0</v>
    <v>0</v>
    <v>Rainslasher</v>
  </rv>
  <rv s="2">
    <v>493</v>
    <v>1</v>
    <v>0</v>
    <v>0</v>
    <v>RangeGauge</v>
  </rv>
  <rv s="2">
    <v>494</v>
    <v>1</v>
    <v>0</v>
    <v>0</v>
    <v>RavenBow</v>
  </rv>
  <rv s="2">
    <v>495</v>
    <v>1</v>
    <v>0</v>
    <v>0</v>
    <v>RecurveBow</v>
  </rv>
  <rv s="2">
    <v>496</v>
    <v>1</v>
    <v>0</v>
    <v>0</v>
    <v>RedhornStonethresher</v>
  </rv>
  <rv s="2">
    <v>497</v>
    <v>1</v>
    <v>0</v>
    <v>0</v>
    <v>RightfulReward</v>
  </rv>
  <rv s="2">
    <v>498</v>
    <v>1</v>
    <v>0</v>
    <v>0</v>
    <v>RoyalBow</v>
  </rv>
  <rv s="2">
    <v>499</v>
    <v>1</v>
    <v>0</v>
    <v>0</v>
    <v>RoyalGreatsword</v>
  </rv>
  <rv s="2">
    <v>500</v>
    <v>1</v>
    <v>0</v>
    <v>0</v>
    <v>RoyalGrimoire</v>
  </rv>
  <rv s="2">
    <v>501</v>
    <v>1</v>
    <v>0</v>
    <v>0</v>
    <v>RoyalLongsword</v>
  </rv>
  <rv s="2">
    <v>502</v>
    <v>1</v>
    <v>0</v>
    <v>0</v>
    <v>RoyalSpear</v>
  </rv>
  <rv s="2">
    <v>503</v>
    <v>1</v>
    <v>0</v>
    <v>0</v>
    <v>Rust</v>
  </rv>
  <rv s="2">
    <v>504</v>
    <v>1</v>
    <v>0</v>
    <v>0</v>
    <v>SacrificialBow</v>
  </rv>
  <rv s="2">
    <v>505</v>
    <v>1</v>
    <v>0</v>
    <v>0</v>
    <v>SacrificialFragments</v>
  </rv>
  <rv s="2">
    <v>506</v>
    <v>1</v>
    <v>0</v>
    <v>0</v>
    <v>SacrificialGreatsword</v>
  </rv>
  <rv s="2">
    <v>507</v>
    <v>1</v>
    <v>0</v>
    <v>0</v>
    <v>SacrificialJade</v>
  </rv>
  <rv s="2">
    <v>508</v>
    <v>1</v>
    <v>0</v>
    <v>0</v>
    <v>SacrificialSword</v>
  </rv>
  <rv s="2">
    <v>509</v>
    <v>1</v>
    <v>0</v>
    <v>0</v>
    <v>SapwoodBlade</v>
  </rv>
  <rv s="2">
    <v>510</v>
    <v>1</v>
    <v>0</v>
    <v>0</v>
    <v>ScionoftheBlazingSun</v>
  </rv>
  <rv s="2">
    <v>511</v>
    <v>1</v>
    <v>0</v>
    <v>0</v>
    <v>SerpentSpine</v>
  </rv>
  <rv s="2">
    <v>512</v>
    <v>1</v>
    <v>0</v>
    <v>0</v>
    <v>SharpshootersOath</v>
  </rv>
  <rv s="2">
    <v>513</v>
    <v>1</v>
    <v>0</v>
    <v>0</v>
    <v>SkyriderGreatsword</v>
  </rv>
  <rv s="2">
    <v>514</v>
    <v>1</v>
    <v>0</v>
    <v>0</v>
    <v>SkyriderSword</v>
  </rv>
  <rv s="2">
    <v>515</v>
    <v>1</v>
    <v>0</v>
    <v>0</v>
    <v>SkywardAtlas</v>
  </rv>
  <rv s="2">
    <v>516</v>
    <v>1</v>
    <v>0</v>
    <v>0</v>
    <v>SkywardBlade</v>
  </rv>
  <rv s="2">
    <v>517</v>
    <v>1</v>
    <v>0</v>
    <v>0</v>
    <v>SkywardHarp</v>
  </rv>
  <rv s="2">
    <v>518</v>
    <v>1</v>
    <v>0</v>
    <v>0</v>
    <v>SkywardPride</v>
  </rv>
  <rv s="2">
    <v>519</v>
    <v>1</v>
    <v>0</v>
    <v>0</v>
    <v>SkywardSpine</v>
  </rv>
  <rv s="2">
    <v>520</v>
    <v>1</v>
    <v>0</v>
    <v>0</v>
    <v>Slingshot</v>
  </rv>
  <rv s="2">
    <v>521</v>
    <v>1</v>
    <v>0</v>
    <v>0</v>
    <v>SnowTombedStarsilver</v>
  </rv>
  <rv s="2">
    <v>522</v>
    <v>1</v>
    <v>0</v>
    <v>0</v>
    <v>SolarPearl</v>
  </rv>
  <rv s="2">
    <v>523</v>
    <v>1</v>
    <v>0</v>
    <v>0</v>
    <v>SongofBrokenPines</v>
  </rv>
  <rv s="2">
    <v>524</v>
    <v>1</v>
    <v>0</v>
    <v>0</v>
    <v>SongofStillness</v>
  </rv>
  <rv s="2">
    <v>525</v>
    <v>1</v>
    <v>0</v>
    <v>0</v>
    <v>SplendorofTranquilWaters</v>
  </rv>
  <rv s="2">
    <v>526</v>
    <v>1</v>
    <v>0</v>
    <v>0</v>
    <v>StaffofHoma</v>
  </rv>
  <rv s="2">
    <v>527</v>
    <v>1</v>
    <v>0</v>
    <v>0</v>
    <v>StaffoftheScarletSands</v>
  </rv>
  <rv s="2">
    <v>528</v>
    <v>1</v>
    <v>0</v>
    <v>0</v>
    <v>SummitShaper</v>
  </rv>
  <rv s="2">
    <v>529</v>
    <v>1</v>
    <v>0</v>
    <v>0</v>
    <v>SwordofDescension</v>
  </rv>
  <rv s="2">
    <v>530</v>
    <v>1</v>
    <v>0</v>
    <v>0</v>
    <v>SwordofNarzissenkreuz</v>
  </rv>
  <rv s="2">
    <v>531</v>
    <v>1</v>
    <v>0</v>
    <v>0</v>
    <v>TalkingStick</v>
  </rv>
  <rv s="2">
    <v>532</v>
    <v>1</v>
    <v>0</v>
    <v>0</v>
    <v>TheAlleyFlash</v>
  </rv>
  <rv s="2">
    <v>533</v>
    <v>1</v>
    <v>0</v>
    <v>0</v>
    <v>TheBell</v>
  </rv>
  <rv s="2">
    <v>534</v>
    <v>1</v>
    <v>0</v>
    <v>0</v>
    <v>TheBlackSword</v>
  </rv>
  <rv s="2">
    <v>535</v>
    <v>1</v>
    <v>0</v>
    <v>0</v>
    <v>TheCatch</v>
  </rv>
  <rv s="2">
    <v>536</v>
    <v>1</v>
    <v>0</v>
    <v>0</v>
    <v>TheDockhandsAssistant</v>
  </rv>
  <rv s="2">
    <v>537</v>
    <v>1</v>
    <v>0</v>
    <v>0</v>
    <v>TheFirstGreatMagic</v>
  </rv>
  <rv s="2">
    <v>538</v>
    <v>1</v>
    <v>0</v>
    <v>0</v>
    <v>TheFlute</v>
  </rv>
  <rv s="2">
    <v>539</v>
    <v>1</v>
    <v>0</v>
    <v>0</v>
    <v>TheStringless</v>
  </rv>
  <rv s="2">
    <v>540</v>
    <v>1</v>
    <v>0</v>
    <v>0</v>
    <v>TheUnforged</v>
  </rv>
  <rv s="2">
    <v>541</v>
    <v>1</v>
    <v>0</v>
    <v>0</v>
    <v>TheViridescentHunt</v>
  </rv>
  <rv s="2">
    <v>542</v>
    <v>1</v>
    <v>0</v>
    <v>0</v>
    <v>TheWidsith</v>
  </rv>
  <rv s="2">
    <v>543</v>
    <v>1</v>
    <v>0</v>
    <v>0</v>
    <v>ThrillingTalesofDragonSlayers</v>
  </rv>
  <rv s="2">
    <v>544</v>
    <v>1</v>
    <v>0</v>
    <v>0</v>
    <v>ThunderingPulse</v>
  </rv>
  <rv s="2">
    <v>545</v>
    <v>1</v>
    <v>0</v>
    <v>0</v>
    <v>TidalShadow</v>
  </rv>
  <rv s="2">
    <v>546</v>
    <v>1</v>
    <v>0</v>
    <v>0</v>
    <v>TomeoftheEternalFlow</v>
  </rv>
  <rv s="2">
    <v>547</v>
    <v>1</v>
    <v>0</v>
    <v>0</v>
    <v>ToukabouShigure</v>
  </rv>
  <rv s="2">
    <v>548</v>
    <v>1</v>
    <v>0</v>
    <v>0</v>
    <v>TravelersHandySword</v>
  </rv>
  <rv s="2">
    <v>549</v>
    <v>1</v>
    <v>0</v>
    <v>0</v>
    <v>TulaytullahsRemembrance</v>
  </rv>
  <rv s="2">
    <v>550</v>
    <v>1</v>
    <v>0</v>
    <v>0</v>
    <v>TwinNephrite</v>
  </rv>
  <rv s="2">
    <v>551</v>
    <v>1</v>
    <v>0</v>
    <v>0</v>
    <v>UltimateOverlordsMegaMagicSword</v>
  </rv>
  <rv s="2">
    <v>552</v>
    <v>1</v>
    <v>0</v>
    <v>0</v>
    <v>UrakuMisugiri</v>
  </rv>
  <rv s="2">
    <v>553</v>
    <v>1</v>
    <v>0</v>
    <v>0</v>
    <v>Verdict</v>
  </rv>
  <rv s="2">
    <v>554</v>
    <v>1</v>
    <v>0</v>
    <v>0</v>
    <v>VortexVanquisher</v>
  </rv>
  <rv s="2">
    <v>555</v>
    <v>1</v>
    <v>0</v>
    <v>0</v>
    <v>WanderingEvenstar</v>
  </rv>
  <rv s="2">
    <v>556</v>
    <v>1</v>
    <v>0</v>
    <v>0</v>
    <v>WavebreakersFin</v>
  </rv>
  <rv s="2">
    <v>557</v>
    <v>1</v>
    <v>0</v>
    <v>0</v>
    <v>Whiteblind</v>
  </rv>
  <rv s="2">
    <v>558</v>
    <v>1</v>
    <v>0</v>
    <v>0</v>
    <v>WhiteIronGreatsword</v>
  </rv>
  <rv s="2">
    <v>559</v>
    <v>1</v>
    <v>0</v>
    <v>0</v>
    <v>WhiteTassel</v>
  </rv>
  <rv s="2">
    <v>560</v>
    <v>1</v>
    <v>0</v>
    <v>0</v>
    <v>WindblumeOde</v>
  </rv>
  <rv s="2">
    <v>561</v>
    <v>1</v>
    <v>0</v>
    <v>0</v>
    <v>WineandSong</v>
  </rv>
  <rv s="2">
    <v>562</v>
    <v>1</v>
    <v>0</v>
    <v>0</v>
    <v>WolfFang</v>
  </rv>
  <rv s="2">
    <v>563</v>
    <v>1</v>
    <v>0</v>
    <v>0</v>
    <v>WolfsGravestone</v>
  </rv>
  <rv s="2">
    <v>564</v>
    <v>1</v>
    <v>0</v>
    <v>0</v>
    <v>XiphosMoonlight</v>
  </rv>
  <rv s="2">
    <v>0</v>
    <v>4</v>
    <v>0</v>
    <v>0</v>
    <v>HerosWit</v>
  </rv>
  <rv s="2">
    <v>13</v>
    <v>4</v>
    <v>0</v>
    <v>0</v>
    <v>SlimeSecretions</v>
  </rv>
  <rv s="2">
    <v>14</v>
    <v>4</v>
    <v>0</v>
    <v>0</v>
    <v>SlimeCondensate</v>
  </rv>
  <rv s="2">
    <v>18</v>
    <v>4</v>
    <v>0</v>
    <v>0</v>
    <v>Mora</v>
  </rv>
  <rv s="2">
    <v>22</v>
    <v>4</v>
    <v>0</v>
    <v>0</v>
    <v>MysticEnhancementOre</v>
  </rv>
  <rv s="2">
    <v>34</v>
    <v>4</v>
    <v>0</v>
    <v>0</v>
    <v>StainedMask</v>
  </rv>
  <rv s="2">
    <v>35</v>
    <v>4</v>
    <v>0</v>
    <v>0</v>
    <v>DamagedMask</v>
  </rv>
  <rv s="2">
    <v>36</v>
    <v>4</v>
    <v>0</v>
    <v>0</v>
    <v>GuidetoFreedom</v>
  </rv>
  <rv s="2">
    <v>38</v>
    <v>4</v>
    <v>0</v>
    <v>0</v>
    <v>BrilliantDiamondChunk</v>
  </rv>
  <rv s="2">
    <v>39</v>
    <v>4</v>
    <v>0</v>
    <v>0</v>
    <v>CrownofInsight</v>
  </rv>
  <rv s="2">
    <v>43</v>
    <v>4</v>
    <v>0</v>
    <v>0</v>
    <v>FineEnhancementOre</v>
  </rv>
  <rv s="2">
    <v>53</v>
    <v>4</v>
    <v>0</v>
    <v>0</v>
    <v>SealedScroll</v>
  </rv>
  <rv s="2">
    <v>54</v>
    <v>4</v>
    <v>0</v>
    <v>0</v>
    <v>DiviningScroll</v>
  </rv>
  <rv s="2">
    <v>55</v>
    <v>4</v>
    <v>0</v>
    <v>0</v>
    <v>TeachingsofFreedom</v>
  </rv>
  <rv s="2">
    <v>56</v>
    <v>4</v>
    <v>0</v>
    <v>0</v>
    <v>BrilliantDiamondFragment</v>
  </rv>
  <rv s="2">
    <v>57</v>
    <v>4</v>
    <v>0</v>
    <v>0</v>
    <v>DreamSolvent</v>
  </rv>
  <rv s="2">
    <v>62</v>
    <v>4</v>
    <v>0</v>
    <v>0</v>
    <v>EnhancementOre</v>
  </rv>
  <rv s="2">
    <v>71</v>
    <v>4</v>
    <v>0</v>
    <v>0</v>
    <v>SharpArrowhead</v>
  </rv>
  <rv s="2">
    <v>72</v>
    <v>4</v>
    <v>0</v>
    <v>0</v>
    <v>FirmArrowhead</v>
  </rv>
  <rv s="2">
    <v>73</v>
    <v>4</v>
    <v>0</v>
    <v>0</v>
    <v>BrilliantDiamondSilver</v>
  </rv>
  <rv s="2">
    <v>88</v>
    <v>4</v>
    <v>0</v>
    <v>0</v>
    <v>SergeantsInsignia</v>
  </rv>
  <rv s="2">
    <v>89</v>
    <v>4</v>
    <v>0</v>
    <v>0</v>
    <v>RecruitsInsignia</v>
  </rv>
  <rv s="2">
    <v>90</v>
    <v>4</v>
    <v>0</v>
    <v>0</v>
    <v>GuidetoResistance</v>
  </rv>
  <rv s="2">
    <v>104</v>
    <v>4</v>
    <v>0</v>
    <v>0</v>
    <v>SilverRavenInsignia</v>
  </rv>
  <rv s="2">
    <v>105</v>
    <v>4</v>
    <v>0</v>
    <v>0</v>
    <v>TreasureHoarderInsignia</v>
  </rv>
  <rv s="2">
    <v>106</v>
    <v>4</v>
    <v>0</v>
    <v>0</v>
    <v>TeachingsofResistance</v>
  </rv>
  <rv s="2">
    <v>108</v>
    <v>4</v>
    <v>0</v>
    <v>0</v>
    <v>AgnidusAgateChunk</v>
  </rv>
  <rv s="2">
    <v>116</v>
    <v>4</v>
    <v>0</v>
    <v>0</v>
    <v>ShimmeringNectar</v>
  </rv>
  <rv s="2">
    <v>117</v>
    <v>4</v>
    <v>0</v>
    <v>0</v>
    <v>WhopperflowerNectar</v>
  </rv>
  <rv s="2">
    <v>119</v>
    <v>4</v>
    <v>0</v>
    <v>0</v>
    <v>AgnidusAgateFragment</v>
  </rv>
  <rv s="2">
    <v>132</v>
    <v>4</v>
    <v>0</v>
    <v>0</v>
    <v>KageuchiHandguard</v>
  </rv>
  <rv s="2">
    <v>133</v>
    <v>4</v>
    <v>0</v>
    <v>0</v>
    <v>OldHandguard</v>
  </rv>
  <rv s="2">
    <v>134</v>
    <v>4</v>
    <v>0</v>
    <v>0</v>
    <v>GuidetoBallad</v>
  </rv>
  <rv s="2">
    <v>135</v>
    <v>4</v>
    <v>0</v>
    <v>0</v>
    <v>AgnidusAgateSilver</v>
  </rv>
  <rv s="2">
    <v>142</v>
    <v>4</v>
    <v>0</v>
    <v>0</v>
    <v>SpectralHeart</v>
  </rv>
  <rv s="2">
    <v>143</v>
    <v>4</v>
    <v>0</v>
    <v>0</v>
    <v>SpectralHusk</v>
  </rv>
  <rv s="2">
    <v>144</v>
    <v>4</v>
    <v>0</v>
    <v>0</v>
    <v>TeachingsofBallad</v>
  </rv>
  <rv s="2">
    <v>155</v>
    <v>4</v>
    <v>0</v>
    <v>0</v>
    <v>LuminescentPollen</v>
  </rv>
  <rv s="2">
    <v>156</v>
    <v>4</v>
    <v>0</v>
    <v>0</v>
    <v>FungalSpores</v>
  </rv>
  <rv s="2">
    <v>159</v>
    <v>4</v>
    <v>0</v>
    <v>0</v>
    <v>VarunadaLazuriteChunk</v>
  </rv>
  <rv s="2">
    <v>166</v>
    <v>4</v>
    <v>0</v>
    <v>0</v>
    <v>TrimmedRedSilk</v>
  </rv>
  <rv s="2">
    <v>167</v>
    <v>4</v>
    <v>0</v>
    <v>0</v>
    <v>FadedRedSatin</v>
  </rv>
  <rv s="2">
    <v>168</v>
    <v>4</v>
    <v>0</v>
    <v>0</v>
    <v>GuidetoProsperity</v>
  </rv>
  <rv s="2">
    <v>170</v>
    <v>4</v>
    <v>0</v>
    <v>0</v>
    <v>VarunadaLazuriteFragment</v>
  </rv>
  <rv s="2">
    <v>175</v>
    <v>4</v>
    <v>0</v>
    <v>0</v>
    <v>TransoceanicChunk</v>
  </rv>
  <rv s="2">
    <v>176</v>
    <v>4</v>
    <v>0</v>
    <v>0</v>
    <v>TransoceanicPearl</v>
  </rv>
  <rv s="2">
    <v>177</v>
    <v>4</v>
    <v>0</v>
    <v>0</v>
    <v>TeachingsofProsperity</v>
  </rv>
  <rv s="2">
    <v>179</v>
    <v>4</v>
    <v>0</v>
    <v>0</v>
    <v>VarunadaLazuriteSilver</v>
  </rv>
  <rv s="2">
    <v>189</v>
    <v>4</v>
    <v>0</v>
    <v>0</v>
    <v>MechanicalSpurGear</v>
  </rv>
  <rv s="2">
    <v>190</v>
    <v>4</v>
    <v>0</v>
    <v>0</v>
    <v>MeshingGear</v>
  </rv>
  <rv s="2">
    <v>200</v>
    <v>4</v>
    <v>0</v>
    <v>0</v>
    <v>GuidetoDiligence</v>
  </rv>
  <rv s="2">
    <v>202</v>
    <v>4</v>
    <v>0</v>
    <v>0</v>
    <v>NagadusEmeraldChunk</v>
  </rv>
  <rv s="2">
    <v>210</v>
    <v>4</v>
    <v>0</v>
    <v>0</v>
    <v>TeachingsofDiligence</v>
  </rv>
  <rv s="2">
    <v>212</v>
    <v>4</v>
    <v>0</v>
    <v>0</v>
    <v>NagadusEmeraldFragment</v>
  </rv>
  <rv s="2">
    <v>219</v>
    <v>4</v>
    <v>0</v>
    <v>0</v>
    <v>NagadusEmeraldSilver</v>
  </rv>
  <rv s="2">
    <v>226</v>
    <v>4</v>
    <v>0</v>
    <v>0</v>
    <v>GuidetoGold</v>
  </rv>
  <rv s="2">
    <v>233</v>
    <v>4</v>
    <v>0</v>
    <v>0</v>
    <v>TeachingsofGold</v>
  </rv>
  <rv s="2">
    <v>235</v>
    <v>4</v>
    <v>0</v>
    <v>0</v>
    <v>VajradaAmethystChunk</v>
  </rv>
  <rv s="2">
    <v>240</v>
    <v>4</v>
    <v>0</v>
    <v>0</v>
    <v>VajradaAmethystFragment</v>
  </rv>
  <rv s="2">
    <v>245</v>
    <v>4</v>
    <v>0</v>
    <v>0</v>
    <v>GuidetoTransience</v>
  </rv>
  <rv s="2">
    <v>247</v>
    <v>4</v>
    <v>0</v>
    <v>0</v>
    <v>VajradaAmethystSilver</v>
  </rv>
  <rv s="2">
    <v>253</v>
    <v>4</v>
    <v>0</v>
    <v>0</v>
    <v>TeachingsofTransience</v>
  </rv>
  <rv s="2">
    <v>259</v>
    <v>4</v>
    <v>0</v>
    <v>0</v>
    <v>VayudaTurquoiseChunk</v>
  </rv>
  <rv s="2">
    <v>264</v>
    <v>4</v>
    <v>0</v>
    <v>0</v>
    <v>GuidetoElegance</v>
  </rv>
  <rv s="2">
    <v>265</v>
    <v>4</v>
    <v>0</v>
    <v>0</v>
    <v>VayudaTurquoiseFragment</v>
  </rv>
  <rv s="2">
    <v>269</v>
    <v>4</v>
    <v>0</v>
    <v>0</v>
    <v>TeachingsofElegance</v>
  </rv>
  <rv s="2">
    <v>271</v>
    <v>4</v>
    <v>0</v>
    <v>0</v>
    <v>VayudaTurquoiseSilver</v>
  </rv>
  <rv s="2">
    <v>281</v>
    <v>4</v>
    <v>0</v>
    <v>0</v>
    <v>GuidetoLight</v>
  </rv>
  <rv s="2">
    <v>283</v>
    <v>4</v>
    <v>0</v>
    <v>0</v>
    <v>ShivadaJadeChunk</v>
  </rv>
  <rv s="2">
    <v>289</v>
    <v>4</v>
    <v>0</v>
    <v>0</v>
    <v>TeachingsofLight</v>
  </rv>
  <rv s="2">
    <v>290</v>
    <v>4</v>
    <v>0</v>
    <v>0</v>
    <v>ShivadaJadeFragment</v>
  </rv>
  <rv s="2">
    <v>296</v>
    <v>4</v>
    <v>0</v>
    <v>0</v>
    <v>ShivadaJadeSilver</v>
  </rv>
  <rv s="2">
    <v>300</v>
    <v>4</v>
    <v>0</v>
    <v>0</v>
    <v>SilkenFeather</v>
  </rv>
  <rv s="2">
    <v>301</v>
    <v>4</v>
    <v>0</v>
    <v>0</v>
    <v>GuidetoAdmonition</v>
  </rv>
  <rv s="2">
    <v>306</v>
    <v>4</v>
    <v>0</v>
    <v>0</v>
    <v>DenialandJudgment</v>
  </rv>
  <rv s="2">
    <v>307</v>
    <v>4</v>
    <v>0</v>
    <v>0</v>
    <v>TeachingsofAdmonition</v>
  </rv>
  <rv s="2">
    <v>309</v>
    <v>4</v>
    <v>0</v>
    <v>0</v>
    <v>PrithivaTopazChunk</v>
  </rv>
  <rv s="2">
    <v>314</v>
    <v>4</v>
    <v>0</v>
    <v>0</v>
    <v>PrithivaTopazFragment</v>
  </rv>
  <rv s="2">
    <v>318</v>
    <v>4</v>
    <v>0</v>
    <v>0</v>
    <v>GuidetoIngenuity</v>
  </rv>
  <rv s="2">
    <v>319</v>
    <v>4</v>
    <v>0</v>
    <v>0</v>
    <v>PrithivaTopazSilver</v>
  </rv>
  <rv s="2">
    <v>323</v>
    <v>4</v>
    <v>0</v>
    <v>0</v>
    <v>TeachingsofIngenuity</v>
  </rv>
  <rv s="2">
    <v>334</v>
    <v>4</v>
    <v>0</v>
    <v>0</v>
    <v>GuidetoPraxis</v>
  </rv>
  <rv s="2">
    <v>339</v>
    <v>4</v>
    <v>0</v>
    <v>0</v>
    <v>TeachingsofPraxis</v>
  </rv>
  <rv s="2">
    <v>348</v>
    <v>4</v>
    <v>0</v>
    <v>0</v>
    <v>GuidetoEquity</v>
  </rv>
  <rv s="2">
    <v>352</v>
    <v>4</v>
    <v>0</v>
    <v>0</v>
    <v>TeachingsofEquity</v>
  </rv>
  <rv s="2">
    <v>359</v>
    <v>4</v>
    <v>0</v>
    <v>0</v>
    <v>GuidetoJustice</v>
  </rv>
  <rv s="2">
    <v>363</v>
    <v>4</v>
    <v>0</v>
    <v>0</v>
    <v>TeachingsofJustice</v>
  </rv>
  <rv s="2">
    <v>372</v>
    <v>4</v>
    <v>0</v>
    <v>0</v>
    <v>GuidetoOrder</v>
  </rv>
  <rv s="2">
    <v>376</v>
    <v>4</v>
    <v>0</v>
    <v>0</v>
    <v>TeachingsofOrder</v>
  </rv>
  <rv s="2">
    <v>1</v>
    <v>4</v>
    <v>0</v>
    <v>0</v>
    <v>Albedo</v>
  </rv>
  <rv s="2">
    <v>23</v>
    <v>4</v>
    <v>0</v>
    <v>0</v>
    <v>Alhaitham</v>
  </rv>
  <rv s="2">
    <v>274</v>
    <v>4</v>
    <v>0</v>
    <v>0</v>
    <v>Aloy</v>
  </rv>
  <rv s="2">
    <v>278</v>
    <v>4</v>
    <v>0</v>
    <v>0</v>
    <v>Amber</v>
  </rv>
  <rv s="2">
    <v>358</v>
    <v>4</v>
    <v>0</v>
    <v>0</v>
    <v>AratakiItto</v>
  </rv>
  <rv s="2">
    <v>409</v>
    <v>4</v>
    <v>0</v>
    <v>0</v>
    <v>Arlecchino</v>
  </rv>
  <rv s="2">
    <v>412</v>
    <v>4</v>
    <v>0</v>
    <v>0</v>
    <v>Baizhu</v>
  </rv>
  <rv s="2">
    <v>415</v>
    <v>4</v>
    <v>0</v>
    <v>0</v>
    <v>Barbara</v>
  </rv>
  <rv s="2">
    <v>362</v>
    <v>4</v>
    <v>0</v>
    <v>0</v>
    <v>Beidou</v>
  </rv>
  <rv s="2">
    <v>44</v>
    <v>4</v>
    <v>0</v>
    <v>0</v>
    <v>Bennett</v>
  </rv>
  <rv s="2">
    <v>450</v>
    <v>4</v>
    <v>0</v>
    <v>0</v>
    <v>Candace</v>
  </rv>
  <rv s="2">
    <v>418</v>
    <v>4</v>
    <v>0</v>
    <v>0</v>
    <v>Charlotte</v>
  </rv>
  <rv s="2">
    <v>452</v>
    <v>4</v>
    <v>0</v>
    <v>0</v>
    <v>Chevreuse</v>
  </rv>
  <rv s="2">
    <v>63</v>
    <v>4</v>
    <v>0</v>
    <v>0</v>
    <v>Chiori</v>
  </rv>
  <rv s="2">
    <v>367</v>
    <v>4</v>
    <v>0</v>
    <v>0</v>
    <v>Chongyun</v>
  </rv>
  <rv s="2">
    <v>78</v>
    <v>4</v>
    <v>0</v>
    <v>0</v>
    <v>Clorinde</v>
  </rv>
  <rv s="2">
    <v>286</v>
    <v>4</v>
    <v>0</v>
    <v>0</v>
    <v>Collei</v>
  </rv>
  <rv s="2">
    <v>454</v>
    <v>4</v>
    <v>0</v>
    <v>0</v>
    <v>Cyno</v>
  </rv>
  <rv s="2">
    <v>371</v>
    <v>4</v>
    <v>0</v>
    <v>0</v>
    <v>Dehya</v>
  </rv>
  <rv s="2">
    <v>375</v>
    <v>4</v>
    <v>0</v>
    <v>0</v>
    <v>Diluc</v>
  </rv>
  <rv s="2">
    <v>293</v>
    <v>4</v>
    <v>0</v>
    <v>0</v>
    <v>Diona</v>
  </rv>
  <rv s="2">
    <v>379</v>
    <v>4</v>
    <v>0</v>
    <v>0</v>
    <v>Dori</v>
  </rv>
  <rv s="2">
    <v>382</v>
    <v>4</v>
    <v>0</v>
    <v>0</v>
    <v>Eula</v>
  </rv>
  <rv s="2">
    <v>299</v>
    <v>4</v>
    <v>0</v>
    <v>0</v>
    <v>Faruzan</v>
  </rv>
  <rv s="2">
    <v>304</v>
    <v>4</v>
    <v>0</v>
    <v>0</v>
    <v>Fischl</v>
  </rv>
  <rv s="2">
    <v>385</v>
    <v>4</v>
    <v>0</v>
    <v>0</v>
    <v>Freminet</v>
  </rv>
  <rv s="2">
    <v>97</v>
    <v>4</v>
    <v>0</v>
    <v>0</v>
    <v>Furina</v>
  </rv>
  <rv s="2">
    <v>388</v>
    <v>4</v>
    <v>0</v>
    <v>0</v>
    <v>Gaming</v>
  </rv>
  <rv s="2">
    <v>312</v>
    <v>4</v>
    <v>0</v>
    <v>0</v>
    <v>Ganyu</v>
  </rv>
  <rv s="2">
    <v>317</v>
    <v>4</v>
    <v>0</v>
    <v>0</v>
    <v>Gorou</v>
  </rv>
  <rv s="2">
    <v>456</v>
    <v>4</v>
    <v>0</v>
    <v>0</v>
    <v>HuTao</v>
  </rv>
  <rv s="2">
    <v>112</v>
    <v>4</v>
    <v>0</v>
    <v>0</v>
    <v>Jean</v>
  </rv>
  <rv s="2">
    <v>139</v>
    <v>4</v>
    <v>0</v>
    <v>0</v>
    <v>Kaeya</v>
  </rv>
  <rv s="2">
    <v>148</v>
    <v>4</v>
    <v>0</v>
    <v>0</v>
    <v>KamisatoAyaka</v>
  </rv>
  <rv s="2">
    <v>162</v>
    <v>4</v>
    <v>0</v>
    <v>0</v>
    <v>KamisatoAyato</v>
  </rv>
  <rv s="2">
    <v>391</v>
    <v>4</v>
    <v>0</v>
    <v>0</v>
    <v>Kaveh</v>
  </rv>
  <rv s="2">
    <v>124</v>
    <v>4</v>
    <v>0</v>
    <v>0</v>
    <v>KaedeharaKazuha</v>
  </rv>
  <rv s="2">
    <v>173</v>
    <v>4</v>
    <v>0</v>
    <v>0</v>
    <v>Keqing</v>
  </rv>
  <rv s="2">
    <v>182</v>
    <v>4</v>
    <v>0</v>
    <v>0</v>
    <v>Kirara</v>
  </rv>
  <rv s="2">
    <v>421</v>
    <v>4</v>
    <v>0</v>
    <v>0</v>
    <v>Klee</v>
  </rv>
  <rv s="2">
    <v>322</v>
    <v>4</v>
    <v>0</v>
    <v>0</v>
    <v>KujouSara</v>
  </rv>
  <rv s="2">
    <v>194</v>
    <v>4</v>
    <v>0</v>
    <v>0</v>
    <v>KukiShinobu</v>
  </rv>
  <rv s="2">
    <v>205</v>
    <v>4</v>
    <v>0</v>
    <v>0</v>
    <v>Layla</v>
  </rv>
  <rv s="2">
    <v>424</v>
    <v>4</v>
    <v>0</v>
    <v>0</v>
    <v>Lisa</v>
  </rv>
  <rv s="2">
    <v>215</v>
    <v>4</v>
    <v>0</v>
    <v>0</v>
    <v>Lynette</v>
  </rv>
  <rv s="2">
    <v>327</v>
    <v>4</v>
    <v>0</v>
    <v>0</v>
    <v>Lyney</v>
  </rv>
  <rv s="2">
    <v>458</v>
    <v>4</v>
    <v>0</v>
    <v>0</v>
    <v>Mika</v>
  </rv>
  <rv s="2">
    <v>426</v>
    <v>4</v>
    <v>0</v>
    <v>0</v>
    <v>Mona</v>
  </rv>
  <rv s="2">
    <v>428</v>
    <v>4</v>
    <v>0</v>
    <v>0</v>
    <v>Nahida</v>
  </rv>
  <rv s="2">
    <v>394</v>
    <v>4</v>
    <v>0</v>
    <v>0</v>
    <v>Navia</v>
  </rv>
  <rv s="2">
    <v>430</v>
    <v>4</v>
    <v>0</v>
    <v>0</v>
    <v>Neuvillette</v>
  </rv>
  <rv s="2">
    <v>222</v>
    <v>4</v>
    <v>0</v>
    <v>0</v>
    <v>Nilou</v>
  </rv>
  <rv s="2">
    <v>432</v>
    <v>4</v>
    <v>0</v>
    <v>0</v>
    <v>Ningguang</v>
  </rv>
  <rv s="2">
    <v>397</v>
    <v>4</v>
    <v>0</v>
    <v>0</v>
    <v>Noelle</v>
  </rv>
  <rv s="2">
    <v>230</v>
    <v>4</v>
    <v>0</v>
    <v>0</v>
    <v>Qiqi</v>
  </rv>
  <rv s="2">
    <v>460</v>
    <v>4</v>
    <v>0</v>
    <v>0</v>
    <v>RaidenShogun</v>
  </rv>
  <rv s="2">
    <v>400</v>
    <v>4</v>
    <v>0</v>
    <v>0</v>
    <v>Razor</v>
  </rv>
  <rv s="2">
    <v>462</v>
    <v>4</v>
    <v>0</v>
    <v>0</v>
    <v>Rosaria</v>
  </rv>
  <rv s="2">
    <v>434</v>
    <v>4</v>
    <v>0</v>
    <v>0</v>
    <v>SangonomiyaKokomi</v>
  </rv>
  <rv s="2">
    <v>403</v>
    <v>4</v>
    <v>0</v>
    <v>0</v>
    <v>Sayu</v>
  </rv>
  <rv s="2">
    <v>333</v>
    <v>4</v>
    <v>0</v>
    <v>0</v>
    <v>Sethos</v>
  </rv>
  <rv s="2">
    <v>464</v>
    <v>4</v>
    <v>0</v>
    <v>0</v>
    <v>Shenhe</v>
  </rv>
  <rv s="2">
    <v>436</v>
    <v>4</v>
    <v>0</v>
    <v>0</v>
    <v>ShikanoinHeizou</v>
  </rv>
  <rv s="2">
    <v>438</v>
    <v>4</v>
    <v>0</v>
    <v>0</v>
    <v>Sucrose</v>
  </rv>
  <rv s="2">
    <v>338</v>
    <v>4</v>
    <v>0</v>
    <v>0</v>
    <v>Tartaglia</v>
  </rv>
  <rv s="2">
    <v>466</v>
    <v>4</v>
    <v>0</v>
    <v>0</v>
    <v>Thoma</v>
  </rv>
  <rv s="2">
    <v>343</v>
    <v>4</v>
    <v>0</v>
    <v>0</v>
    <v>Tighnari</v>
  </rv>
  <rv s="2">
    <v>257</v>
    <v>4</v>
    <v>0</v>
    <v>0</v>
    <v>TravelerDendro</v>
  </rv>
  <rv s="2">
    <v>250</v>
    <v>4</v>
    <v>0</v>
    <v>0</v>
    <v>TravelerElectro</v>
  </rv>
  <rv s="2">
    <v>243</v>
    <v>4</v>
    <v>0</v>
    <v>0</v>
    <v>TravelerGeo</v>
  </rv>
  <rv s="2">
    <v>262</v>
    <v>4</v>
    <v>0</v>
    <v>0</v>
    <v>TravelerHydro</v>
  </rv>
  <rv s="2">
    <v>238</v>
    <v>4</v>
    <v>0</v>
    <v>0</v>
    <v>TravelerAnemo</v>
  </rv>
  <rv s="2">
    <v>347</v>
    <v>4</v>
    <v>0</v>
    <v>0</v>
    <v>Venti</v>
  </rv>
  <rv s="2">
    <v>440</v>
    <v>4</v>
    <v>0</v>
    <v>0</v>
    <v>Wanderer</v>
  </rv>
  <rv s="2">
    <v>442</v>
    <v>4</v>
    <v>0</v>
    <v>0</v>
    <v>Wriothesley</v>
  </rv>
  <rv s="2">
    <v>468</v>
    <v>4</v>
    <v>0</v>
    <v>0</v>
    <v>Xiangling</v>
  </rv>
  <rv s="2">
    <v>444</v>
    <v>4</v>
    <v>0</v>
    <v>0</v>
    <v>Xianyun</v>
  </rv>
  <rv s="2">
    <v>470</v>
    <v>4</v>
    <v>0</v>
    <v>0</v>
    <v>Xiao</v>
  </rv>
  <rv s="2">
    <v>268</v>
    <v>4</v>
    <v>0</v>
    <v>0</v>
    <v>Xingqiu</v>
  </rv>
  <rv s="2">
    <v>406</v>
    <v>4</v>
    <v>0</v>
    <v>0</v>
    <v>Xinyan</v>
  </rv>
  <rv s="2">
    <v>446</v>
    <v>4</v>
    <v>0</v>
    <v>0</v>
    <v>YaeMiko</v>
  </rv>
  <rv s="2">
    <v>448</v>
    <v>4</v>
    <v>0</v>
    <v>0</v>
    <v>Yanfei</v>
  </rv>
  <rv s="2">
    <v>472</v>
    <v>4</v>
    <v>0</v>
    <v>0</v>
    <v>Yaoyao</v>
  </rv>
  <rv s="2">
    <v>351</v>
    <v>4</v>
    <v>0</v>
    <v>0</v>
    <v>Yelan</v>
  </rv>
  <rv s="2">
    <v>355</v>
    <v>4</v>
    <v>0</v>
    <v>0</v>
    <v>Yoimiya</v>
  </rv>
  <rv s="2">
    <v>474</v>
    <v>4</v>
    <v>0</v>
    <v>0</v>
    <v>YunJin</v>
  </rv>
  <rv s="2">
    <v>476</v>
    <v>4</v>
    <v>0</v>
    <v>0</v>
    <v>Zhongli</v>
  </rv>
</rvData>
</file>

<file path=xl/richData/rdrichvaluestructure.xml><?xml version="1.0" encoding="utf-8"?>
<rvStructures xmlns="http://schemas.microsoft.com/office/spreadsheetml/2017/richdata" count="3">
  <s t="_webimage">
    <k n="WebImageIdentifier" t="i"/>
    <k n="CalcOrigin" t="i"/>
    <k n="ComputedImage" t="b"/>
    <k n="ImageSizing" t="i"/>
    <k n="Text" t="s"/>
  </s>
  <s t="_error">
    <k n="errorType" t="i"/>
    <k n="propagated" t="b"/>
  </s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LocalSpecialties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Img" displayName="ExperienceImg" ref="A2:B6" totalsRowShown="0" headerRowDxfId="475" dataDxfId="474">
  <autoFilter ref="A2:B6" xr:uid="{F20D8DEB-90FF-455C-90C3-295E7737CAF7}"/>
  <tableColumns count="2">
    <tableColumn id="1" xr3:uid="{64F03A41-F93A-49D5-92A0-88AE43229642}" name="Icon" dataDxfId="473">
      <calculatedColumnFormula>_xlfn.IMAGE(_xlfn.CONCAT("https://raw.githubusercontent.com/ItsCryp7iC/Genshin-Image-Hosting/main/",A$1,"/",ExperienceImg[[#This Row],[Name]],".png"),ExperienceImg[[#This Row],[Name]])</calculatedColumnFormula>
    </tableColumn>
    <tableColumn id="2" xr3:uid="{079531D8-FFD6-4BFD-9AE3-36BE5EA2A4F5}" name="Name" dataDxfId="4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Img" displayName="WorldBossImg" ref="P2:R33" totalsRowShown="0" headerRowDxfId="471" dataDxfId="470">
  <autoFilter ref="P2:R33" xr:uid="{471FC162-B430-4704-BBFD-A691624963BF}"/>
  <tableColumns count="3">
    <tableColumn id="1" xr3:uid="{3277339E-1133-4913-BB4F-1AC15D415C0C}" name="Icon" dataDxfId="469">
      <calculatedColumnFormula>_xlfn.IMAGE(_xlfn.CONCAT("https://raw.githubusercontent.com/ItsCryp7iC/Genshin-Image-Hosting/main/",P$1,"/",WorldBossImg[[#This Row],[Name]],".png"),WorldBossImg[[#This Row],[Name]])</calculatedColumnFormula>
    </tableColumn>
    <tableColumn id="3" xr3:uid="{B819A49D-9BA8-4A23-A3AB-E14EF4676B73}" name="Boss Name" dataDxfId="468"/>
    <tableColumn id="2" xr3:uid="{E39AA9A9-AEA7-418E-A2B3-0E45DCD84BCE}" name="Name" dataDxfId="4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Img" displayName="WeeklyBossImg" ref="T2:V32" totalsRowShown="0" headerRowDxfId="466" dataDxfId="465">
  <autoFilter ref="T2:V32" xr:uid="{D0C4DF60-7933-46BC-89ED-69A9036A2D91}"/>
  <tableColumns count="3">
    <tableColumn id="1" xr3:uid="{AD4B7A33-55D0-4E8E-9EDC-3EBC968E101E}" name="Icon" dataDxfId="464">
      <calculatedColumnFormula>_xlfn.IMAGE(_xlfn.CONCAT("https://raw.githubusercontent.com/ItsCryp7iC/Genshin-Image-Hosting/main/",T$1,"/",WeeklyBossImg[[#This Row],[Name]],".png"),WeeklyBossImg[[#This Row],[Name]])</calculatedColumnFormula>
    </tableColumn>
    <tableColumn id="3" xr3:uid="{A446ED41-09B0-449E-B189-8FF8D8B28F55}" name="Boss Name" dataDxfId="463"/>
    <tableColumn id="2" xr3:uid="{87ECF132-A20B-4883-AC89-CE8D9AC68BA9}" name="Name" dataDxfId="4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Img" displayName="MonsterMaterialsImg" ref="X2:AD15" totalsRowShown="0" headerRowDxfId="461" dataDxfId="460">
  <autoFilter ref="X2:AD15" xr:uid="{91B59D81-EF99-40E2-BF60-EEF1578AA981}"/>
  <tableColumns count="7">
    <tableColumn id="3" xr3:uid="{FD79A5C7-F6A3-48B3-AC3B-566E039BBA95}" name="Mob Name" dataDxfId="459"/>
    <tableColumn id="4" xr3:uid="{7E252873-950D-459A-A573-E9A6FA2F4C1F}" name="3*Name" dataDxfId="458"/>
    <tableColumn id="5" xr3:uid="{2C54D783-4D28-41FF-85C4-4F989C65D14D}" name="3*Icon" dataDxfId="457">
      <calculatedColumnFormula>_xlfn.IMAGE(_xlfn.CONCAT("https://raw.githubusercontent.com/ItsCryp7iC/Genshin-Image-Hosting/main/",$X$1,"/",Y$1,"/",MonsterMaterialsImg[[#This Row],[3*Name]],".png"),MonsterMaterialsImg[[#This Row],[3*Name]])</calculatedColumnFormula>
    </tableColumn>
    <tableColumn id="7" xr3:uid="{5D410829-A044-4938-9A01-06C04352EEE9}" name="2*Name" dataDxfId="456"/>
    <tableColumn id="6" xr3:uid="{790EBBF6-AEB3-486B-9267-10681E8DDCE2}" name="2*Icon" dataDxfId="455">
      <calculatedColumnFormula>_xlfn.IMAGE(_xlfn.CONCAT("https://raw.githubusercontent.com/ItsCryp7iC/Genshin-Image-Hosting/main/",$X$1,"/",AA$1,"/",MonsterMaterialsImg[[#This Row],[2*Name]],".png"),MonsterMaterialsImg[[#This Row],[2*Name]])</calculatedColumnFormula>
    </tableColumn>
    <tableColumn id="8" xr3:uid="{3FF27451-D359-4AF9-9BC2-304322790BF0}" name="1*Name" dataDxfId="454"/>
    <tableColumn id="2" xr3:uid="{04A4E4F9-F684-4E4F-9E22-B172E3B2EAF7}" name="1*Icon" dataDxfId="453">
      <calculatedColumnFormula>_xlfn.IMAGE(_xlfn.CONCAT("https://raw.githubusercontent.com/ItsCryp7iC/Genshin-Image-Hosting/main/",$X$1,"/",AC$1,"/",MonsterMaterialsImg[[#This Row],[1*Name]],".png"),MonsterMaterialsImg[[#This Row],[1*Name]])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Img" displayName="TalentBooksImg" ref="AF2:AG47" totalsRowShown="0" headerRowDxfId="452" dataDxfId="451">
  <autoFilter ref="AF2:AG47" xr:uid="{85F45436-0A7B-4E28-B2C5-38946D623E1E}"/>
  <tableColumns count="2">
    <tableColumn id="1" xr3:uid="{C2995E17-7D14-42A7-91AF-8367BFA6D5B5}" name="Icon" dataDxfId="450">
      <calculatedColumnFormula>_xlfn.IMAGE(_xlfn.CONCAT("https://raw.githubusercontent.com/ItsCryp7iC/Genshin-Image-Hosting/main/",AF$1,"/",TalentBooksImg[[#This Row],[Name]],".png"),TalentBooksImg[[#This Row],[Name]])</calculatedColumnFormula>
    </tableColumn>
    <tableColumn id="2" xr3:uid="{7EA85A24-EB9F-47EF-B32C-E5B2B3D15C0F}" name="Name" dataDxfId="4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Img" displayName="LocalSpecialtiesImg" ref="AI2:AJ45" totalsRowShown="0" headerRowDxfId="448" dataDxfId="447">
  <autoFilter ref="AI2:AJ45" xr:uid="{D298F8CA-CFE3-4FC6-A382-7447B4038B8E}"/>
  <tableColumns count="2">
    <tableColumn id="1" xr3:uid="{B18A0F22-65CA-4A90-B8DC-9A419DA03BEE}" name="Icon" dataDxfId="446">
      <calculatedColumnFormula>_xlfn.IMAGE(_xlfn.CONCAT("https://raw.githubusercontent.com/ItsCryp7iC/Genshin-Image-Hosting/main/",AI$1,"/",LocalSpecialtiesImg[[#This Row],[Name]],".png"),LocalSpecialtiesImg[[#This Row],[Name]])</calculatedColumnFormula>
    </tableColumn>
    <tableColumn id="2" xr3:uid="{C148C8AE-33E1-4216-A3FB-633C34B95E9E}" name="Name" dataDxfId="4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Img" displayName="GemsImg" ref="AL2:AO34" totalsRowShown="0" headerRowDxfId="444" dataDxfId="443">
  <autoFilter ref="AL2:AO34" xr:uid="{783B91E0-F1E2-4EE2-BAD9-5FA64344E12F}"/>
  <tableColumns count="4">
    <tableColumn id="1" xr3:uid="{246371CD-B3BE-4265-8C60-F89F20AEF5C1}" name="Icon" dataDxfId="442">
      <calculatedColumnFormula>_xlfn.IMAGE(_xlfn.CONCAT("https://raw.githubusercontent.com/ItsCryp7iC/Genshin-Image-Hosting/main/",AL$1,"/",GemsImg[[#This Row],[Name]],".png"),GemsImg[[#This Row],[Name]])</calculatedColumnFormula>
    </tableColumn>
    <tableColumn id="2" xr3:uid="{EB06E72D-2BDB-46C8-9E43-33524DEF81A2}" name="Name" dataDxfId="441">
      <calculatedColumnFormula>_xlfn.CONCAT(GemsImg[[#This Row],[Column2]],GemsImg[[#This Row],[Column1]])</calculatedColumnFormula>
    </tableColumn>
    <tableColumn id="4" xr3:uid="{FCA3A621-B33A-4976-A737-8509CCBC4E20}" name="Column2" dataDxfId="440"/>
    <tableColumn id="3" xr3:uid="{DA0A9A9B-3956-4C47-95C0-D59733985539}" name="Column1" dataDxfId="43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Img" displayName="MiscImg" ref="AQ2:AR10" totalsRowShown="0" headerRowDxfId="438" dataDxfId="437">
  <autoFilter ref="AQ2:AR10" xr:uid="{5D30F5FB-AFE3-4A6D-8E00-B029E7745D3B}"/>
  <tableColumns count="2">
    <tableColumn id="1" xr3:uid="{71F572B4-BC88-4273-A43C-C1305E4FA246}" name="Icon" dataDxfId="436">
      <calculatedColumnFormula>_xlfn.IMAGE(_xlfn.CONCAT("https://raw.githubusercontent.com/ItsCryp7iC/Genshin-Image-Hosting/main/",AQ$1,"/",MiscImg[[#This Row],[Name]],".png"),MiscImg[[#This Row],[Name]])</calculatedColumnFormula>
    </tableColumn>
    <tableColumn id="2" xr3:uid="{40B0BB0D-30A2-409A-A1E2-EB71F05EE365}" name="Name" dataDxfId="4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Img" displayName="CharacterDetailsImg" ref="D2:N89" totalsRowShown="0" headerRowDxfId="434" dataDxfId="432" headerRowBorderDxfId="433">
  <autoFilter ref="D2:N89" xr:uid="{B5C23B03-03C1-4CEE-9134-CD105CBF4BC3}"/>
  <sortState xmlns:xlrd2="http://schemas.microsoft.com/office/spreadsheetml/2017/richdata2" ref="D3:N89">
    <sortCondition ref="F2:F89"/>
  </sortState>
  <tableColumns count="11">
    <tableColumn id="1" xr3:uid="{630FBB57-BC04-4CB3-B3C5-6142ADA352CA}" name="Icon" dataDxfId="431">
      <calculatedColumnFormula>_xlfn.IMAGE(_xlfn.CONCAT("https://raw.githubusercontent.com/ItsCryp7iC/Genshin-Image-Hosting/main/",D$1,"/",CharacterDetailsImg[[#This Row],[Name]],".png"),CharacterDetailsImg[[#This Row],[Name]])</calculatedColumnFormula>
    </tableColumn>
    <tableColumn id="2" xr3:uid="{731F8CD1-3758-4160-BFF4-C3B88A7B4205}" name="Name" dataDxfId="430"/>
    <tableColumn id="3" xr3:uid="{E7239F64-B800-4A9B-8248-6A4AB7995230}" name="Weapon Type" dataDxfId="429"/>
    <tableColumn id="4" xr3:uid="{A82441D1-53D6-4839-B2A8-426CE38F86B2}" name="Element" dataDxfId="428"/>
    <tableColumn id="9" xr3:uid="{3CE19D5D-1609-41E7-BA8E-A040E443B33E}" name="Released Version" dataDxfId="427"/>
    <tableColumn id="5" xr3:uid="{C72FD904-AB80-4F32-961B-24BA223503CA}" name="World Boss" dataDxfId="426"/>
    <tableColumn id="6" xr3:uid="{CDFC77AA-F941-4088-9FFC-CF4DEBBFDE4F}" name="Weekly Boss" dataDxfId="425"/>
    <tableColumn id="7" xr3:uid="{82D3AE23-725D-4204-AFE6-ABC95BE6CA93}" name="TalentBook" dataDxfId="424"/>
    <tableColumn id="8" xr3:uid="{721C5EB6-0B21-43CA-8D2F-1DC12A085740}" name="Monster Mats" dataDxfId="423"/>
    <tableColumn id="11" xr3:uid="{665EB381-A29F-3740-BD11-B0B2E77AF974}" name="LocalSpecialties" dataDxfId="422"/>
    <tableColumn id="10" xr3:uid="{FD44B491-F749-4815-A910-7F8B60F6BC03}" name="Gems" dataDxfId="421">
      <calculatedColumnFormula>IF(OR(
E3="TravelerAnemo",
E3="TravelerGeo",
E3="TravelerElectro",
E3="TravelerDendro",
E3="TravelerHydro",
E3="TravelerPyro",
E3="TravelerCryo"),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450BF9-18D4-4DD3-8F6F-9360DE9D0D2C}" name="BilletImg" displayName="BilletImg" ref="AT2:AU7" totalsRowShown="0" headerRowDxfId="420" dataDxfId="419">
  <autoFilter ref="AT2:AU7" xr:uid="{5F450BF9-18D4-4DD3-8F6F-9360DE9D0D2C}"/>
  <tableColumns count="2">
    <tableColumn id="1" xr3:uid="{ADC23C17-6449-4377-B630-EDCEEC7F14AB}" name="Icon" dataDxfId="418">
      <calculatedColumnFormula>_xlfn.IMAGE(_xlfn.CONCAT("https://raw.githubusercontent.com/ItsCryp7iC/Genshin-Image-Hosting/main/",AT$1,"/",BilletImg[[#This Row],[Name]],".png"),BilletImg[[#This Row],[Name]])</calculatedColumnFormula>
    </tableColumn>
    <tableColumn id="2" xr3:uid="{78EE2A6A-1B46-478A-AC36-040A34FF75D8}" name="Name" dataDxfId="41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3BFBF-3EB8-4AD4-AF6C-7BAA331B1619}" name="ElementsImg" displayName="ElementsImg" ref="AW2:AX9" totalsRowShown="0" headerRowDxfId="416" dataDxfId="415">
  <autoFilter ref="AW2:AX9" xr:uid="{3603BFBF-3EB8-4AD4-AF6C-7BAA331B1619}"/>
  <tableColumns count="2">
    <tableColumn id="1" xr3:uid="{EBD0437C-6331-4712-BBFF-63A8E59DE701}" name="Icon" dataDxfId="414">
      <calculatedColumnFormula>_xlfn.IMAGE(_xlfn.CONCAT("https://raw.githubusercontent.com/ItsCryp7iC/Genshin-Image-Hosting/main/",AW$1,"/",ElementsImg[[#This Row],[Name]],".png"),ElementsImg[[#This Row],[Name]])</calculatedColumnFormula>
    </tableColumn>
    <tableColumn id="2" xr3:uid="{381A098D-E6B1-40DA-AE98-2A0102007768}" name="Name" dataDxfId="4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117BF0-54CA-4564-9CEF-252F6651192B}" name="WeaponsImg" displayName="WeaponsImg" ref="AZ2:BA176" totalsRowShown="0" headerRowDxfId="412" dataDxfId="411">
  <autoFilter ref="AZ2:BA176" xr:uid="{A1117BF0-54CA-4564-9CEF-252F6651192B}"/>
  <tableColumns count="2">
    <tableColumn id="1" xr3:uid="{2C1A27A6-878C-49F7-B27C-AEE3FEF771A5}" name="Icon" dataDxfId="410">
      <calculatedColumnFormula>_xlfn.IMAGE(_xlfn.CONCAT("https://raw.githubusercontent.com/ItsCryp7iC/Genshin-Image-Hosting/main/",AZ$1,"/",WeaponsImg[[#This Row],[Name]],".png"),WeaponsImg[[#This Row],[Name]])</calculatedColumnFormula>
    </tableColumn>
    <tableColumn id="2" xr3:uid="{93EF9473-06C4-4DF0-9622-CE155D2FD10D}" name="Name" dataDxfId="40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01C85C-A3A4-444C-B766-D895B6EB0396}" name="WeaponMaterialsImg" displayName="WeaponMaterialsImg" ref="BC2:BD62" totalsRowShown="0" headerRowDxfId="408" dataDxfId="407">
  <autoFilter ref="BC2:BD62" xr:uid="{8F01C85C-A3A4-444C-B766-D895B6EB0396}"/>
  <tableColumns count="2">
    <tableColumn id="1" xr3:uid="{1742757B-ED55-43AE-94CF-3E27EDE9E447}" name="Icon" dataDxfId="406">
      <calculatedColumnFormula>_xlfn.IMAGE(_xlfn.CONCAT("https://raw.githubusercontent.com/ItsCryp7iC/Genshin-Image-Hosting/main/",BC$1,"/",WeaponMaterialsImg[[#This Row],[Name]],".png"),WeaponMaterialsImg[[#This Row],[Name]])</calculatedColumnFormula>
    </tableColumn>
    <tableColumn id="2" xr3:uid="{8DF1A0BA-4DD4-4A8C-B7BE-263DF30A8AC4}" name="Name" dataDxfId="40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Inv" displayName="ExperienceInv" ref="A4:B8" totalsRowShown="0" headerRowDxfId="404" dataDxfId="402" headerRowBorderDxfId="403">
  <autoFilter ref="A4:B8" xr:uid="{CEC85B4B-D14A-404A-BAED-6490403A6959}"/>
  <tableColumns count="2">
    <tableColumn id="1" xr3:uid="{B3C9709D-32B6-48B0-A807-661EC80D2242}" name="Icon" dataDxfId="401">
      <calculatedColumnFormula>ImgDatabase!A3</calculatedColumnFormula>
    </tableColumn>
    <tableColumn id="3" xr3:uid="{AC9369FA-7C10-48AC-8670-6BD395FD7FC6}" name="Quantity" dataDxfId="400" dataCellStyle="Goo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Inv" displayName="WorldBossInv" ref="D4:E35" totalsRowShown="0" headerRowDxfId="399" dataDxfId="397" headerRowBorderDxfId="398">
  <autoFilter ref="D4:E35" xr:uid="{467BB2F5-E7B5-4DEA-ADA2-C32432EF67D0}"/>
  <tableColumns count="2">
    <tableColumn id="1" xr3:uid="{5F9E4E8C-24BB-43F3-8AD5-133003311CA5}" name="Icon" dataDxfId="396">
      <calculatedColumnFormula>ImgDatabase!P3</calculatedColumnFormula>
    </tableColumn>
    <tableColumn id="3" xr3:uid="{88644666-390B-45FE-9705-99F1C2FE29EB}" name="Quantity" dataDxfId="395" dataCellStyle="Good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Inv" displayName="WeeklyBossInv" ref="G4:H34" totalsRowShown="0" headerRowDxfId="394" dataDxfId="392" headerRowBorderDxfId="393">
  <autoFilter ref="G4:H34" xr:uid="{EB9A62B4-730A-4308-9E3A-AB1917CA1130}"/>
  <tableColumns count="2">
    <tableColumn id="1" xr3:uid="{17F8F6D2-6B6E-42B1-BB28-2AC118308596}" name="Icon" dataDxfId="391">
      <calculatedColumnFormula>ImgDatabase!T3</calculatedColumnFormula>
    </tableColumn>
    <tableColumn id="3" xr3:uid="{A1FFDB15-D0C6-4F52-9D2E-B3BB820018BD}" name="Quantity" dataDxfId="390" dataCellStyle="Good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Inv" displayName="MonsterMaterialsInv" ref="J4:O17" totalsRowShown="0" headerRowDxfId="389" dataDxfId="387" headerRowBorderDxfId="388">
  <autoFilter ref="J4:O17" xr:uid="{8E2FFD29-F9A5-465A-8592-4622E20F44E5}"/>
  <tableColumns count="6">
    <tableColumn id="1" xr3:uid="{0C593EFA-90DC-4C79-8D84-5CD5C454DA4C}" name="3* Icon" dataDxfId="386">
      <calculatedColumnFormula>ImgDatabase!Z3</calculatedColumnFormula>
    </tableColumn>
    <tableColumn id="4" xr3:uid="{5FC7B1F0-320E-47E9-AEEF-1EC7161AC003}" name="3* Quantity" dataDxfId="385" dataCellStyle="Good"/>
    <tableColumn id="5" xr3:uid="{AF3429E3-126F-46BF-B345-D96B77F69CC7}" name="2* Icon" dataDxfId="384">
      <calculatedColumnFormula>ImgDatabase!AB3</calculatedColumnFormula>
    </tableColumn>
    <tableColumn id="6" xr3:uid="{37E42B95-BD49-4287-B07D-B0D0634D7AC7}" name="2* Quantity" dataDxfId="383" dataCellStyle="Good"/>
    <tableColumn id="2" xr3:uid="{D8D7600D-1C6D-4C12-A021-B6D397656215}" name="1* Icon" dataDxfId="382">
      <calculatedColumnFormula>ImgDatabase!AD3</calculatedColumnFormula>
    </tableColumn>
    <tableColumn id="3" xr3:uid="{92666AB6-694E-4341-973B-A601365969E7}" name="1* Quantity" dataDxfId="381" dataCellStyle="Good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Inv" displayName="TalentBooksInv" ref="Q4:R49" totalsRowShown="0" headerRowDxfId="380" dataDxfId="378" headerRowBorderDxfId="379">
  <autoFilter ref="Q4:R49" xr:uid="{2887DA76-B656-437B-8ADF-127D2D65ECFD}"/>
  <tableColumns count="2">
    <tableColumn id="1" xr3:uid="{3E0A2344-C4BE-41E6-AA1F-3F3560F1D8CD}" name="Icon" dataDxfId="377">
      <calculatedColumnFormula>ImgDatabase!AF3</calculatedColumnFormula>
    </tableColumn>
    <tableColumn id="3" xr3:uid="{AB3250A8-839E-44EE-82BE-95BD928D8544}" name="Quantity" dataDxfId="376" dataCellStyle="Good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Inv" displayName="LocalSpecialtiesInv" ref="T4:U47" totalsRowShown="0" headerRowDxfId="375" dataDxfId="373" headerRowBorderDxfId="374">
  <autoFilter ref="T4:U47" xr:uid="{D3B5164D-E759-45F7-9F13-BCCD285D48B2}"/>
  <tableColumns count="2">
    <tableColumn id="1" xr3:uid="{1D638E2C-7664-4985-828A-21020C6A0798}" name="Icon" dataDxfId="372">
      <calculatedColumnFormula>ImgDatabase!AI3</calculatedColumnFormula>
    </tableColumn>
    <tableColumn id="3" xr3:uid="{04524C7E-5D67-49B7-A579-4AEFBDE4C2E8}" name="Quantity" dataDxfId="371" dataCellStyle="Good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Inv" displayName="GemsInv" ref="W4:X36" totalsRowShown="0" headerRowDxfId="370" dataDxfId="368" headerRowBorderDxfId="369">
  <autoFilter ref="W4:X36" xr:uid="{EE23DE02-3333-448C-B74B-7A0BB4496250}"/>
  <tableColumns count="2">
    <tableColumn id="1" xr3:uid="{2E23D609-0F17-4689-89BD-6298404B6DD8}" name="Icon" dataDxfId="367">
      <calculatedColumnFormula>ImgDatabase!AL3</calculatedColumnFormula>
    </tableColumn>
    <tableColumn id="3" xr3:uid="{0D7E441B-15E4-4B31-BB46-7A42C5AC4C8E}" name="Quantity" dataDxfId="366" dataCellStyle="Good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Inv" displayName="MiscInv" ref="Z4:AA7" totalsRowShown="0" headerRowDxfId="365" dataDxfId="363" headerRowBorderDxfId="364">
  <autoFilter ref="Z4:AA7" xr:uid="{8FFC40B2-5A5C-4983-B7F8-4ED9CC6CFCE3}"/>
  <tableColumns count="2">
    <tableColumn id="1" xr3:uid="{52BBDE71-F8D3-47CE-9251-6A9A7DFC78E5}" name="Icon" dataDxfId="362">
      <calculatedColumnFormula>ImgDatabase!AQ3</calculatedColumnFormula>
    </tableColumn>
    <tableColumn id="3" xr3:uid="{BC9F4EE1-5DAD-4963-B051-F140BBDB125A}" name="Quantity" dataDxfId="361" dataCellStyle="Good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K89" headerRowDxfId="360" dataDxfId="359" totalsRowDxfId="358">
  <autoFilter ref="A2:K89" xr:uid="{C78F8660-662A-46FF-93BA-D65807617CAE}"/>
  <sortState xmlns:xlrd2="http://schemas.microsoft.com/office/spreadsheetml/2017/richdata2" ref="A3:K89">
    <sortCondition ref="C2:C89"/>
  </sortState>
  <tableColumns count="11">
    <tableColumn id="1" xr3:uid="{D6E5C43E-5C07-49FF-B1B9-ABD557AF19B6}" name="Sl No." dataDxfId="357" totalsRowDxfId="356">
      <calculatedColumnFormula>SUBTOTAL(3,$D$3:Character[[#This Row],[NameHelper]])</calculatedColumnFormula>
    </tableColumn>
    <tableColumn id="67" xr3:uid="{44824374-AEFA-4453-925C-01C7C29F92A0}" name="Icon" dataDxfId="355" totalsRowDxfId="354">
      <calculatedColumnFormula>IFERROR(INDEX(ImgDatabase!$D:$D, MATCH(Character[[#This Row],[NameHelper]], ImgDatabase!$E:$E, 0)), "")</calculatedColumnFormula>
    </tableColumn>
    <tableColumn id="8" xr3:uid="{E0A70E04-20E3-4782-A85F-1ACF648DA187}" name="Name" dataDxfId="353" totalsRowDxfId="352"/>
    <tableColumn id="2" xr3:uid="{23057AD2-2F98-4AC4-B35C-51B7D584B762}" name="NameHelper" dataDxfId="351" totalsRowDxfId="350"/>
    <tableColumn id="3" xr3:uid="{0AF9C27E-11C8-4E4E-91F8-E76E8348E504}" name="Element" dataDxfId="349">
      <calculatedColumnFormula>IFERROR(INDEX(ImgDatabase!$G:$G, MATCH(Character[[#This Row],[NameHelper]], ImgDatabase!$E:$E, 0)), "")</calculatedColumnFormula>
    </tableColumn>
    <tableColumn id="66" xr3:uid="{66B480C5-D129-4F57-BA4D-E91009D66890}" name="Weapon Type" dataDxfId="348" totalsRowDxfId="347">
      <calculatedColumnFormula>IFERROR(INDEX(CharacterDetailsImg[Weapon Type], MATCH(Character[[#This Row],[NameHelper]], CharacterDetailsImg[Name], 0)), "")</calculatedColumnFormula>
    </tableColumn>
    <tableColumn id="62" xr3:uid="{BFE9BC67-A161-4EF5-9121-D0146E5A0056}" name="Version Released" dataDxfId="346" totalsRowDxfId="345">
      <calculatedColumnFormula>IFERROR(INDEX(CharacterDetailsImg[Released Version], MATCH(Character[[#This Row],[NameHelper]], CharacterDetailsImg[Name], 0)), "")</calculatedColumnFormula>
    </tableColumn>
    <tableColumn id="4" xr3:uid="{FFD41670-F581-4DC2-9A71-CD9EBEE81793}" name="Level" dataDxfId="344" totalsRowDxfId="343" dataCellStyle="Good"/>
    <tableColumn id="5" xr3:uid="{EB001A27-D042-4C62-BA7D-E45BB2185E69}" name="NA" dataDxfId="342" totalsRowDxfId="341" dataCellStyle="Good"/>
    <tableColumn id="6" xr3:uid="{F70D0D2E-D6B8-4F1E-BB79-7FB00B6C8DE5}" name="Skill" dataDxfId="340" totalsRowDxfId="339" dataCellStyle="Good"/>
    <tableColumn id="7" xr3:uid="{FC7A010A-90F9-47F4-85F9-27E3EC4FACBE}" name="Burst" dataDxfId="338" totalsRowDxfId="337" dataCellStyle="Good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rget" displayName="Target" ref="M2:P89" totalsRowShown="0" headerRowDxfId="336" dataDxfId="334" headerRowBorderDxfId="335" tableBorderDxfId="333" dataCellStyle="Neutral">
  <autoFilter ref="M2:P89" xr:uid="{CBE7F488-26D2-4060-9FD5-6FDAE5E82AFE}"/>
  <tableColumns count="4">
    <tableColumn id="1" xr3:uid="{B7415A67-641F-4B5E-9975-805094B9D589}" name="Level" dataDxfId="332" dataCellStyle="Neutral"/>
    <tableColumn id="2" xr3:uid="{03862FE3-4387-49A7-BD17-509BB8EAB610}" name="NA" dataDxfId="331" dataCellStyle="Neutral"/>
    <tableColumn id="3" xr3:uid="{7E4D3758-AC1A-4B87-9756-992C6BA416CA}" name="Skill" dataDxfId="330" dataCellStyle="Neutral"/>
    <tableColumn id="4" xr3:uid="{FAC75E29-6717-4454-AA6A-6B93D0E6D083}" name="Burst" dataDxfId="329" dataCellStyle="Neutra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T2:U90" totalsRowCount="1" headerRowDxfId="328" dataDxfId="326" totalsRowDxfId="324" headerRowBorderDxfId="327" tableBorderDxfId="325" totalsRowBorderDxfId="323">
  <autoFilter ref="T2:U89" xr:uid="{3C3970CA-B3D9-4AF4-8F5F-1420BBC36EE6}"/>
  <tableColumns count="2">
    <tableColumn id="1" xr3:uid="{EDEF5BC8-91C7-4ED8-9429-DD31B2857790}" name="Material" dataDxfId="322" totalsRowDxfId="321">
      <calculatedColumnFormula>IF(Character[[#This Row],[Name]]="Traveler","",IFERROR(INDEX(ImgDatabase!$I:$I,MATCH(Character[[#This Row],[NameHelper]],ImgDatabase!$E:$E,0)),""))</calculatedColumnFormula>
    </tableColumn>
    <tableColumn id="3" xr3:uid="{76BA97C1-1204-4ADC-9350-96E7ED530536}" name="Need to Farm" totalsRowFunction="sum" dataDxfId="320" totalsRowDxfId="319">
      <calculatedColumnFormula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5515904-4C3C-48B5-B5C0-1FE4DB488B38}" name="TalentBook" displayName="TalentBook" ref="W2:Z90" totalsRowCount="1" headerRowDxfId="318" dataDxfId="317" totalsRowDxfId="315" tableBorderDxfId="316" totalsRowBorderDxfId="314">
  <autoFilter ref="W2:Z89" xr:uid="{F5515904-4C3C-48B5-B5C0-1FE4DB488B38}"/>
  <tableColumns count="4">
    <tableColumn id="1" xr3:uid="{5B797346-890A-485F-A154-C0987A1F020F}" name="Book" dataDxfId="313" totalsRowDxfId="312">
      <calculatedColumnFormula>IF(Character[[#This Row],[Name]]="Traveler","",IFERROR(INDEX(ImgDatabase!$K:$K, MATCH(Character[[#This Row],[NameHelper]], ImgDatabase!$E:$E, 0)), ""))</calculatedColumnFormula>
    </tableColumn>
    <tableColumn id="2" xr3:uid="{709C6CFE-156B-4DEA-86FA-FD98FB5883E3}" name="4* Book" totalsRowFunction="sum" dataDxfId="311" totalsRowDxfId="310">
      <calculatedColumnFormula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calculatedColumnFormula>
    </tableColumn>
    <tableColumn id="3" xr3:uid="{6B952C33-671E-45B1-9D1C-C1420EBDE477}" name="3* Book" totalsRowFunction="sum" dataDxfId="309" totalsRowDxfId="308">
      <calculatedColumnFormula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calculatedColumnFormula>
    </tableColumn>
    <tableColumn id="4" xr3:uid="{DC509E3E-0AD5-4ECC-8203-288F310C640C}" name="2* Book" totalsRowFunction="sum" dataDxfId="307" totalsRowDxfId="306">
      <calculatedColumnFormula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BD7E68-E9A3-47D2-9FDC-D3F422AEEB4E}" name="WeeklyBoss" displayName="WeeklyBoss" ref="AB2:AC90" totalsRowCount="1" headerRowDxfId="305" dataDxfId="303" totalsRowDxfId="301" headerRowBorderDxfId="304" tableBorderDxfId="302" totalsRowBorderDxfId="300">
  <autoFilter ref="AB2:AC89" xr:uid="{CDBD7E68-E9A3-47D2-9FDC-D3F422AEEB4E}"/>
  <tableColumns count="2">
    <tableColumn id="1" xr3:uid="{AEFA3055-2B30-41EF-BF0F-80E44EDF0698}" name="Material" dataDxfId="299" totalsRowDxfId="298">
      <calculatedColumnFormula>IFERROR(INDEX(ImgDatabase!$J:$J, MATCH(Character[[#This Row],[NameHelper]], ImgDatabase!$E:$E, 0)), "")</calculatedColumnFormula>
    </tableColumn>
    <tableColumn id="2" xr3:uid="{35A10E3D-A0D8-45BA-932B-EB3E6BA9E4D9}" name="Need to Farm" totalsRowFunction="sum" dataDxfId="297" totalsRowDxfId="296">
      <calculatedColumnFormula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038080-73FA-46B6-8C7F-6E42568CE87D}" name="Table36" displayName="Table36" ref="R2:R90" totalsRowShown="0" headerRowDxfId="295" dataDxfId="293" headerRowBorderDxfId="294" tableBorderDxfId="292">
  <autoFilter ref="R2:R90" xr:uid="{E9038080-73FA-46B6-8C7F-6E42568CE87D}"/>
  <tableColumns count="1">
    <tableColumn id="1" xr3:uid="{9591BB0B-7B80-407D-A39C-85173007C592}" name="Hero's Wits" dataDxfId="29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AA79E2B-9C5F-4DD3-B9B8-541505781E2A}" name="LocalSpecialties3" displayName="LocalSpecialties3" ref="AE2:AF90" totalsRowCount="1" headerRowDxfId="290" dataDxfId="288" totalsRowDxfId="286" headerRowBorderDxfId="289" tableBorderDxfId="287" totalsRowBorderDxfId="285">
  <autoFilter ref="AE2:AF89" xr:uid="{DAA79E2B-9C5F-4DD3-B9B8-541505781E2A}"/>
  <tableColumns count="2">
    <tableColumn id="1" xr3:uid="{4B49BC3E-6408-45A5-B0A0-B52625511988}" name="Local Specialties" dataDxfId="284" totalsRowDxfId="283">
      <calculatedColumnFormula>IFERROR(INDEX(ImgDatabase!$M:$M, MATCH(Character[[#This Row],[NameHelper]], ImgDatabase!$E:$E, 0)), "")</calculatedColumnFormula>
    </tableColumn>
    <tableColumn id="2" xr3:uid="{2D726768-9690-46D0-90ED-61C31AD5D816}" name="Need to Farm" totalsRowFunction="sum" dataDxfId="282" totalsRowDxfId="281">
      <calculatedColumnFormula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D3F3BD9-AE5A-4B8C-B285-F608EB6C67D4}" name="Gemstone" displayName="Gemstone" ref="AH2:AL90" totalsRowCount="1" headerRowDxfId="280" dataDxfId="278" totalsRowDxfId="276" headerRowBorderDxfId="279" tableBorderDxfId="277" totalsRowBorderDxfId="275">
  <autoFilter ref="AH2:AL89" xr:uid="{3D3F3BD9-AE5A-4B8C-B285-F608EB6C67D4}"/>
  <tableColumns count="5">
    <tableColumn id="1" xr3:uid="{C558A1CB-C4D4-42E1-8077-52117AAC450F}" name="Stone Type" dataDxfId="274" totalsRowDxfId="273">
      <calculatedColumnFormula>IFERROR(INDEX(ImgDatabase!$N:$N, MATCH(Character[[#This Row],[NameHelper]], ImgDatabase!$E:$E, 0)), "")</calculatedColumnFormula>
    </tableColumn>
    <tableColumn id="2" xr3:uid="{ACEFD48C-BDEB-4465-B61E-DD6D41462A0C}" name="Gemstone" totalsRowFunction="sum" dataDxfId="272" totalsRowDxfId="271">
      <calculatedColumnFormula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calculatedColumnFormula>
    </tableColumn>
    <tableColumn id="3" xr3:uid="{0D4B439C-1066-44F4-A537-0B6CF7D2298C}" name="Chunk" totalsRowFunction="sum" dataDxfId="270" totalsRowDxfId="269">
      <calculatedColumnFormula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calculatedColumnFormula>
    </tableColumn>
    <tableColumn id="4" xr3:uid="{FB2034CF-2F8B-4D83-A0D5-1AC5C8E992F3}" name="Fragment" totalsRowFunction="sum" dataDxfId="268" totalsRowDxfId="267">
      <calculatedColumnFormula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calculatedColumnFormula>
    </tableColumn>
    <tableColumn id="5" xr3:uid="{9B722877-E3F2-4DB5-8D55-31AFDA62B505}" name="Silver" totalsRowFunction="sum" dataDxfId="266" totalsRowDxfId="265">
      <calculatedColumnFormula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C0C2AB3-6BA3-4C7F-834A-2C7DD357F775}" name="MonsterMaterials" displayName="MonsterMaterials" ref="AN2:AW90" totalsRowCount="1" headerRowDxfId="264" dataDxfId="262" totalsRowDxfId="260" headerRowBorderDxfId="263" tableBorderDxfId="261" totalsRowBorderDxfId="259">
  <autoFilter ref="AN2:AW89" xr:uid="{5C0C2AB3-6BA3-4C7F-834A-2C7DD357F775}"/>
  <tableColumns count="10">
    <tableColumn id="1" xr3:uid="{106CABA0-2DAC-4C6F-AFA1-B1F153E631EC}" name="Material Type" dataDxfId="258" totalsRowDxfId="257">
      <calculatedColumnFormula>IFERROR(INDEX(ImgDatabase!$L:$L, MATCH(Character[[#This Row],[NameHelper]], ImgDatabase!$E:$E, 0)), "")</calculatedColumnFormula>
    </tableColumn>
    <tableColumn id="2" xr3:uid="{02B968DF-4C33-4881-B104-6FF9633C616C}" name="3* (Asc)" totalsRowFunction="sum" dataDxfId="256" totalsRowDxfId="255">
      <calculatedColumnFormula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calculatedColumnFormula>
    </tableColumn>
    <tableColumn id="3" xr3:uid="{89A3CC45-3452-4442-AFB2-6EB46330C55C}" name="2* (Asc)" totalsRowFunction="sum" dataDxfId="254" totalsRowDxfId="253">
      <calculatedColumnFormula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calculatedColumnFormula>
    </tableColumn>
    <tableColumn id="4" xr3:uid="{D4714B2F-9A3E-4168-8B30-3A313B4C3800}" name="1* (Asc)" totalsRowFunction="sum" dataDxfId="252" totalsRowDxfId="251">
      <calculatedColumnFormula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calculatedColumnFormula>
    </tableColumn>
    <tableColumn id="5" xr3:uid="{97DAC930-D806-4876-B887-77A826828036}" name="3* (Tal)" totalsRowFunction="sum" dataDxfId="250" totalsRowDxfId="249">
      <calculatedColumnFormula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calculatedColumnFormula>
    </tableColumn>
    <tableColumn id="6" xr3:uid="{424D024E-31F6-468B-A40E-47BB66393FFA}" name="2* (Tal)" totalsRowFunction="sum" dataDxfId="248" totalsRowDxfId="247">
      <calculatedColumnFormula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calculatedColumnFormula>
    </tableColumn>
    <tableColumn id="7" xr3:uid="{B3E273FD-E8BA-43EB-8043-9441EFA60A56}" name="1* (Tal)" totalsRowFunction="sum" dataDxfId="246" totalsRowDxfId="245">
      <calculatedColumnFormula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calculatedColumnFormula>
    </tableColumn>
    <tableColumn id="17" xr3:uid="{D89D1C18-DF78-4B75-80D0-5790B562251E}" name="3* Mats" totalsRowFunction="sum" dataDxfId="244" totalsRowDxfId="243">
      <calculatedColumnFormula>SUM(AO3,AR3)</calculatedColumnFormula>
    </tableColumn>
    <tableColumn id="18" xr3:uid="{3B2B73EF-27E5-4EBA-BFF0-1BAF7F7D66E4}" name="2* Mats" totalsRowFunction="sum" dataDxfId="242" totalsRowDxfId="241">
      <calculatedColumnFormula>SUM(AP3,AS3)</calculatedColumnFormula>
    </tableColumn>
    <tableColumn id="19" xr3:uid="{B7D5A478-56E7-4AE0-82DE-F6ACE6DF2836}" name="1* Mats" totalsRowFunction="sum" dataDxfId="240" totalsRowDxfId="239">
      <calculatedColumnFormula>SUM(AQ3,AT3)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5F56FD6-5BB9-44A1-B310-53ABB8CBB5B9}" name="Table40" displayName="Table40" ref="AY2:BC90" totalsRowCount="1" headerRowDxfId="238" dataDxfId="236" totalsRowDxfId="235" headerRowBorderDxfId="237" totalsRowBorderDxfId="234">
  <autoFilter ref="AY2:BC89" xr:uid="{D5F56FD6-5BB9-44A1-B310-53ABB8CBB5B9}"/>
  <tableColumns count="5">
    <tableColumn id="1" xr3:uid="{1A83F816-AD49-43CF-BB95-C51ACC09419D}" name="Ascension_x000a_Cost" totalsRowFunction="sum" dataDxfId="233" totalsRowDxfId="232">
      <calculatedColumnFormula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calculatedColumnFormula>
    </tableColumn>
    <tableColumn id="2" xr3:uid="{AA2A4B9E-999C-464B-AB23-11EC0C80D4E7}" name="Talent Cost_x000a_(NA)" totalsRowFunction="sum" dataDxfId="231" totalsRowDxfId="230">
      <calculatedColumnFormula>IF(Character[[#This Row],[NA]]=0,0,IF(Target[[#This Row],[NA]]&lt;Character[[#This Row],[NA]],0,LOOKUP(Character[[#This Row],[NA]],TalentDatabase[Talent Level],TalentDatabase[Mora])-LOOKUP(Target[[#This Row],[NA]],TalentDatabase[Talent Level],TalentDatabase[Mora])))</calculatedColumnFormula>
    </tableColumn>
    <tableColumn id="3" xr3:uid="{76992DD2-1E62-4406-9A8C-88AC1AA60BBE}" name="Talent Cost_x000a_(Skill)" totalsRowFunction="sum" dataDxfId="229" totalsRowDxfId="228">
      <calculatedColumnFormula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calculatedColumnFormula>
    </tableColumn>
    <tableColumn id="4" xr3:uid="{1A6AD202-3A25-4CF8-8C13-8AD47405C71D}" name="Talent Cost_x000a_(Burst)" totalsRowFunction="sum" dataDxfId="227" totalsRowDxfId="226">
      <calculatedColumnFormula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calculatedColumnFormula>
    </tableColumn>
    <tableColumn id="5" xr3:uid="{49CEB664-1770-419C-B690-E844C330F340}" name="Total_x000a_Cost" totalsRowFunction="sum" dataDxfId="225" totalsRowDxfId="224">
      <calculatedColumnFormula>SUM(Table40[[#This Row],[Ascension
Cost]:[Talent Cost
(Burst)]])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36B5A5F-3497-2D49-9870-ACFCD4658CA6}" name="Table53" displayName="Table53" ref="BE2:BH90" totalsRowCount="1" headerRowDxfId="223" dataDxfId="221" totalsRowDxfId="220" headerRowBorderDxfId="222" totalsRowBorderDxfId="219">
  <autoFilter ref="BE2:BH89" xr:uid="{836B5A5F-3497-2D49-9870-ACFCD4658CA6}"/>
  <tableColumns count="4">
    <tableColumn id="1" xr3:uid="{992A2483-7795-1043-AE7A-BA4CB7BC1DD0}" name="NA" totalsRowFunction="sum" dataDxfId="218" totalsRowDxfId="217">
      <calculatedColumnFormula>IF(Character[[#This Row],[NA]]=0,0,IF(Target[[#This Row],[NA]]&lt;Character[[#This Row],[NA]],0,LOOKUP(Character[[#This Row],[NA]],TalentDatabase[Talent Level],TalentDatabase[Crown])-LOOKUP(Target[[#This Row],[NA]],TalentDatabase[Talent Level],TalentDatabase[Crown])))</calculatedColumnFormula>
    </tableColumn>
    <tableColumn id="2" xr3:uid="{4AF3CD9A-DADC-48CE-9134-2A1BCAF64B1D}" name="Skill" totalsRowFunction="sum" dataDxfId="216" totalsRowDxfId="215">
      <calculatedColumnFormula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calculatedColumnFormula>
    </tableColumn>
    <tableColumn id="3" xr3:uid="{74C1E464-52D1-4F15-8DBF-53D545016CEA}" name="Burst" totalsRowFunction="sum" dataDxfId="214" totalsRowDxfId="213">
      <calculatedColumnFormula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calculatedColumnFormula>
    </tableColumn>
    <tableColumn id="4" xr3:uid="{58C934F1-2DE9-469A-9B71-3856C5D20C97}" name="Total" totalsRowFunction="sum" dataDxfId="212" totalsRowDxfId="211">
      <calculatedColumnFormula>SUM(Table53[[#This Row],[NA]:[Burst]])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2:G34" totalsRowCount="1" headerRowDxfId="210" dataDxfId="208" totalsRowDxfId="207" headerRowBorderDxfId="209">
  <autoFilter ref="A2:G33" xr:uid="{75761221-EEEE-4308-995F-040E07A72874}"/>
  <sortState xmlns:xlrd2="http://schemas.microsoft.com/office/spreadsheetml/2017/richdata2" ref="A3:G33">
    <sortCondition ref="D2:D33"/>
  </sortState>
  <tableColumns count="7">
    <tableColumn id="1" xr3:uid="{100EA993-FA4F-47D1-A56D-9C7CB1E50869}" name="Sl No." totalsRowLabel="Total" dataDxfId="206" totalsRowDxfId="205">
      <calculatedColumnFormula>SUBTOTAL(3,$C$3:World_Boss[[#This Row],[Name]])</calculatedColumnFormula>
    </tableColumn>
    <tableColumn id="7" xr3:uid="{95C50174-02C8-4EAC-9178-AAB7646DC9A6}" name="Boss Name" dataDxfId="204" totalsRowDxfId="203">
      <calculatedColumnFormula>IFERROR(INDEX(WorldBossImg[Icon], MATCH(World_Boss[[#This Row],[Name]], WorldBossImg[Name], 0)), "")</calculatedColumnFormula>
    </tableColumn>
    <tableColumn id="2" xr3:uid="{CE78B17E-A0A1-40CF-B5A0-BAC11C1E73B4}" name="Name" dataDxfId="202" totalsRowDxfId="201"/>
    <tableColumn id="6" xr3:uid="{2E05B981-DF2A-42C1-8B17-183136F03967}" name="Version" dataDxfId="200" totalsRowDxfId="199"/>
    <tableColumn id="3" xr3:uid="{736FF383-833A-41BE-80BC-05287188C2E3}" name="Mats Needed" totalsRowFunction="sum" dataDxfId="198" totalsRowDxfId="197">
      <calculatedColumnFormula>SUMIF(WorldBoss[Material],World_Boss[[#This Row],[Boss Name]],WorldBoss[Need to Farm])</calculatedColumnFormula>
    </tableColumn>
    <tableColumn id="4" xr3:uid="{72A3CB5D-0DFF-473E-A9CA-C382695C0795}" name="Mats Acquired" totalsRowFunction="sum" dataDxfId="196" totalsRowDxfId="195">
      <calculatedColumnFormula>IFERROR(INDEX(WorldBossInv[Quantity], MATCH(World_Boss[[#This Row],[Boss Name]], WorldBossInv[Icon], 0)), "")</calculatedColumnFormula>
    </tableColumn>
    <tableColumn id="5" xr3:uid="{8F190CE4-749D-4ED5-8194-9710BCFE4279}" name="Remaining Mats" totalsRowFunction="custom" dataDxfId="194" totalsRowDxfId="193">
      <calculatedColumnFormula>E3-F3</calculatedColumnFormula>
      <totalsRowFormula>SUMIF(World_Boss[Remaining Mats],"&gt;=0")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3:V19" totalsRowCount="1" headerRowDxfId="192" dataDxfId="190" totalsRowDxfId="188" headerRowBorderDxfId="191" tableBorderDxfId="189">
  <autoFilter ref="A3:V18" xr:uid="{6D9118A6-159A-4FBD-B4FB-632CECCE43B9}"/>
  <sortState xmlns:xlrd2="http://schemas.microsoft.com/office/spreadsheetml/2017/richdata2" ref="A4:V18">
    <sortCondition ref="D3:D18"/>
  </sortState>
  <tableColumns count="22">
    <tableColumn id="1" xr3:uid="{AAA4A7E4-B9F5-4F75-ABA8-F21690018EA9}" name="Sl No." dataDxfId="187" totalsRowDxfId="186">
      <calculatedColumnFormula>SUBTOTAL(3,$B$4:Talent_Books[[#This Row],[Book Region]])</calculatedColumnFormula>
    </tableColumn>
    <tableColumn id="2" xr3:uid="{78FA7F45-740E-4EF8-BDEC-5978699DFEB3}" name="Book Region" dataDxfId="185" totalsRowDxfId="184"/>
    <tableColumn id="3" xr3:uid="{848E969F-1F78-4291-9F3E-8FE3C036CF09}" name="NameHelper" dataDxfId="183" totalsRowDxfId="182"/>
    <tableColumn id="13" xr3:uid="{70530C69-55A3-47EB-B1D8-597F704A39E1}" name="Version" totalsRowLabel="Total" dataDxfId="181" totalsRowDxfId="180"/>
    <tableColumn id="4" xr3:uid="{40F4725D-358F-4B6F-B580-1492C9F45E95}" name="4* Book" dataDxfId="179" totalsRowDxfId="178">
      <calculatedColumnFormula>IFERROR(INDEX(TalentBooksImg[Icon], MATCH(_xlfn.CONCAT("philosophiesof",Talent_Books[[#This Row],[NameHelper]]), TalentBooksImg[Name], 0)), "")</calculatedColumnFormula>
    </tableColumn>
    <tableColumn id="5" xr3:uid="{F2A14402-8AC1-4401-B0B1-45A5E759C80E}" name="4* Need" totalsRowFunction="custom" dataDxfId="177" totalsRowDxfId="176">
      <calculatedColumnFormula>SUMIF(TalentBook[Book],Talent_Books[[#This Row],[4* Book]],TalentBook[4* Book])</calculatedColumnFormula>
      <totalsRowFormula>SUMIF(Talent_Books[4* Need],"&gt;=0")</totalsRowFormula>
    </tableColumn>
    <tableColumn id="18" xr3:uid="{6FF2AEB2-0FCA-42FE-841E-6A9EDCBF84A2}" name="3* Book" dataDxfId="175" totalsRowDxfId="174">
      <calculatedColumnFormula>IFERROR(INDEX(TalentBooksImg[Icon], MATCH(_xlfn.CONCAT("guideto",Talent_Books[[#This Row],[NameHelper]]), TalentBooksImg[Name], 0)), "")</calculatedColumnFormula>
    </tableColumn>
    <tableColumn id="19" xr3:uid="{C83A209A-13DD-49FB-BC65-A96A521E5C45}" name="3* Need" totalsRowFunction="custom" dataDxfId="173" totalsRowDxfId="172">
      <calculatedColumnFormula>SUMIF(TalentBook[Book],Talent_Books[[#This Row],[4* Book]],TalentBook[3* Book])</calculatedColumnFormula>
      <totalsRowFormula>SUMIF(Talent_Books[3* Need],"&gt;=0")</totalsRowFormula>
    </tableColumn>
    <tableColumn id="17" xr3:uid="{893A0467-2D22-463F-B77D-ABBC1CE462E5}" name="2* Book" dataDxfId="171" totalsRowDxfId="170">
      <calculatedColumnFormula>IFERROR(INDEX(TalentBooksImg[Icon], MATCH(_xlfn.CONCAT("teachingsof",Talent_Books[[#This Row],[NameHelper]]), TalentBooksImg[Name], 0)), "")</calculatedColumnFormula>
    </tableColumn>
    <tableColumn id="6" xr3:uid="{06ACA8D3-4AE5-4828-AD0D-4FF0D624F3DA}" name="2* Need" totalsRowFunction="custom" dataDxfId="169" totalsRowDxfId="168">
      <calculatedColumnFormula>SUMIF(TalentBook[Book],Talent_Books[[#This Row],[4* Book]],TalentBook[2* Book])</calculatedColumnFormula>
      <totalsRowFormula>SUMIF(Talent_Books[2* Need],"&gt;=0")</totalsRowFormula>
    </tableColumn>
    <tableColumn id="7" xr3:uid="{9B3F32CF-7532-4D42-A127-BA137803F7CC}" name="4* Book2" dataDxfId="167" totalsRowDxfId="166">
      <calculatedColumnFormula>IFERROR(INDEX(TalentBooksImg[Icon], MATCH(_xlfn.CONCAT("philosophiesof",Talent_Books[[#This Row],[NameHelper]]), TalentBooksImg[Name], 0)), "")</calculatedColumnFormula>
    </tableColumn>
    <tableColumn id="20" xr3:uid="{6B5B450B-70DB-41AC-9E14-568FFC401037}" name="4* Need2" totalsRowFunction="custom" dataDxfId="165" totalsRowDxfId="164">
      <calculatedColumnFormula>IFERROR(INDEX(TalentBooksInv[Quantity], MATCH(Talent_Books[[#This Row],[4* Book2]], TalentBooksInv[Icon], 0)), "")</calculatedColumnFormula>
      <totalsRowFormula>SUMIF(Talent_Books[4* Need2],"&gt;=0")</totalsRowFormula>
    </tableColumn>
    <tableColumn id="21" xr3:uid="{1387F69E-B7F0-4653-927B-BB5B211ED270}" name="3* Book2" dataDxfId="163" totalsRowDxfId="162">
      <calculatedColumnFormula>IFERROR(INDEX(TalentBooksImg[Icon], MATCH(_xlfn.CONCAT("guideto",Talent_Books[[#This Row],[NameHelper]]), TalentBooksImg[Name], 0)), "")</calculatedColumnFormula>
    </tableColumn>
    <tableColumn id="22" xr3:uid="{AE6F2E67-46D8-41A6-A4DF-5C019ED6248B}" name="3* Need2" totalsRowFunction="custom" dataDxfId="161" totalsRowDxfId="160">
      <calculatedColumnFormula>IFERROR(INDEX(TalentBooksInv[Quantity], MATCH(Talent_Books[[#This Row],[3* Book2]], TalentBooksInv[Icon], 0)), "")</calculatedColumnFormula>
      <totalsRowFormula>SUMIF(Talent_Books[3* Need2],"&gt;=0")</totalsRowFormula>
    </tableColumn>
    <tableColumn id="8" xr3:uid="{72AFA39A-5EAC-48E2-AE40-06E58B34C1AD}" name="2* Book2" dataDxfId="159" totalsRowDxfId="158">
      <calculatedColumnFormula>IFERROR(INDEX(TalentBooksImg[Icon], MATCH(_xlfn.CONCAT("teachingsof",Talent_Books[[#This Row],[NameHelper]]), TalentBooksImg[Name], 0)), "")</calculatedColumnFormula>
    </tableColumn>
    <tableColumn id="9" xr3:uid="{6A9267B2-6490-4215-B346-F474A9C0EFF9}" name="2* Need2" totalsRowFunction="custom" dataDxfId="157" totalsRowDxfId="156">
      <calculatedColumnFormula>IFERROR(INDEX(TalentBooksInv[Quantity], MATCH(Talent_Books[[#This Row],[2* Book2]], TalentBooksInv[Icon], 0)), "")</calculatedColumnFormula>
      <totalsRowFormula>SUMIF(Talent_Books[2* Need2],"&gt;=0")</totalsRowFormula>
    </tableColumn>
    <tableColumn id="10" xr3:uid="{E6D5A6EE-DED9-4553-B39F-06B0B5C5373B}" name="4* Book3" dataDxfId="155" totalsRowDxfId="154">
      <calculatedColumnFormula>IFERROR(INDEX(TalentBooksImg[Icon], MATCH(_xlfn.CONCAT("philosophiesof",Talent_Books[[#This Row],[NameHelper]]), TalentBooksImg[Name], 0)), "")</calculatedColumnFormula>
    </tableColumn>
    <tableColumn id="23" xr3:uid="{B75670AF-D8CD-4D91-9A3E-7ACC56D609E4}" name="4* Need3" totalsRowFunction="custom" dataDxfId="153" totalsRowDxfId="152">
      <calculatedColumnFormula>Talent_Books[[#This Row],[4* Need]]-Talent_Books[[#This Row],[4* Need2]]</calculatedColumnFormula>
      <totalsRowFormula>SUMIF(Talent_Books[4* Need3],"&gt;=0")</totalsRowFormula>
    </tableColumn>
    <tableColumn id="25" xr3:uid="{8E18B6A3-E6F0-4AFE-849A-183A1AB80A5D}" name="3* Book3" dataDxfId="151" totalsRowDxfId="150">
      <calculatedColumnFormula>IFERROR(INDEX(TalentBooksImg[Icon], MATCH(_xlfn.CONCAT("guideto",Talent_Books[[#This Row],[NameHelper]]), TalentBooksImg[Name], 0)), "")</calculatedColumnFormula>
    </tableColumn>
    <tableColumn id="24" xr3:uid="{87603BC8-55F5-405F-A558-8F64C891BBC7}" name="3* Need3" totalsRowFunction="custom" dataDxfId="149" totalsRowDxfId="148">
      <calculatedColumnFormula>Talent_Books[[#This Row],[3* Need]]-Talent_Books[[#This Row],[3* Need2]]</calculatedColumnFormula>
      <totalsRowFormula>SUMIF(Talent_Books[3* Need3],"&gt;=0")</totalsRowFormula>
    </tableColumn>
    <tableColumn id="11" xr3:uid="{B3750A25-F5EB-4E0D-B5E9-1AE5B505E431}" name="2* Book3" dataDxfId="147" totalsRowDxfId="146">
      <calculatedColumnFormula>IFERROR(INDEX(TalentBooksImg[Icon], MATCH(_xlfn.CONCAT("teachingsof",Talent_Books[[#This Row],[NameHelper]]), TalentBooksImg[Name], 0)), "")</calculatedColumnFormula>
    </tableColumn>
    <tableColumn id="12" xr3:uid="{1FC80303-8A00-4341-9ADC-462F59AD5F0F}" name="2* Need3" totalsRowFunction="custom" dataDxfId="145" totalsRowDxfId="144">
      <calculatedColumnFormula>Talent_Books[[#This Row],[2* Need]]-Talent_Books[[#This Row],[2* Need2]]</calculatedColumnFormula>
      <totalsRowFormula>SUMIF(Talent_Books[2* Need3],"&gt;=0")</totalsRow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2:H33" totalsRowCount="1" headerRowDxfId="143" dataDxfId="141" totalsRowDxfId="140" headerRowBorderDxfId="142">
  <autoFilter ref="A2:H32" xr:uid="{0D12F913-D745-4C24-ACC2-50E45CE14F5C}"/>
  <sortState xmlns:xlrd2="http://schemas.microsoft.com/office/spreadsheetml/2017/richdata2" ref="A3:H32">
    <sortCondition ref="E2:E32"/>
  </sortState>
  <tableColumns count="8">
    <tableColumn id="1" xr3:uid="{1AF8B431-0CA2-4C3F-ACEE-D1594E30F657}" name="Sl No." totalsRowLabel="Total" dataDxfId="139" totalsRowDxfId="138">
      <calculatedColumnFormula>SUBTOTAL(3,$B$3:Weekly_Boss[[#This Row],[Weekly Boss]])</calculatedColumnFormula>
    </tableColumn>
    <tableColumn id="2" xr3:uid="{9946B1E7-6265-4792-88FB-7D4B0ADE2782}" name="Weekly Boss" dataDxfId="137" totalsRowDxfId="136"/>
    <tableColumn id="8" xr3:uid="{DB84506D-7729-45DB-B9D1-BA2FA5BE2C4B}" name="NameHelper" dataDxfId="135" totalsRowDxfId="134"/>
    <tableColumn id="3" xr3:uid="{2D8682D7-AECB-442B-BE29-2F38E80C2C45}" name="Weekly Boss Material" dataDxfId="133" totalsRowDxfId="132">
      <calculatedColumnFormula>IFERROR(INDEX(WeeklyBossImg[Icon], MATCH(Weekly_Boss[[#This Row],[NameHelper]], WeeklyBossImg[Name], 0)), "")</calculatedColumnFormula>
    </tableColumn>
    <tableColumn id="7" xr3:uid="{8086B8DB-CE3D-4BBE-AB26-5A5B8C8E69F7}" name="Version Released" dataDxfId="131" totalsRowDxfId="130"/>
    <tableColumn id="4" xr3:uid="{34E1C2BE-5B37-4ADF-BA9D-FE111D4F04F4}" name="Need to Farm" totalsRowFunction="sum" dataDxfId="129" totalsRowDxfId="128">
      <calculatedColumnFormula>SUMIF(WeeklyBoss[Material],Weekly_Boss[[#This Row],[Weekly Boss Material]],WeeklyBoss[Need to Farm])</calculatedColumnFormula>
    </tableColumn>
    <tableColumn id="5" xr3:uid="{3324C55E-E38C-41AA-A95E-327F4EC0AD70}" name="Acquired" totalsRowFunction="sum" dataDxfId="127" totalsRowDxfId="126">
      <calculatedColumnFormula>IFERROR(INDEX(WeeklyBossInv[Quantity], MATCH(Weekly_Boss[[#This Row],[Weekly Boss Material]],WeeklyBossInv[Icon], 0)), "")</calculatedColumnFormula>
    </tableColumn>
    <tableColumn id="6" xr3:uid="{6E441E18-6E87-4320-A580-1EEBB3269CE1}" name="Remaining" totalsRowFunction="custom" dataDxfId="125" totalsRowDxfId="124">
      <calculatedColumnFormula>F3-G3</calculatedColumnFormula>
      <totalsRowFormula>SUMIF(Weekly_Boss[Remaining],"&gt;=0")</totalsRow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G46" totalsRowCount="1" headerRowDxfId="123" dataDxfId="122" totalsRowDxfId="121" totalsRowBorderDxfId="120">
  <autoFilter ref="A2:G45" xr:uid="{0D12F913-D745-4C24-ACC2-50E45CE14F5C}"/>
  <sortState xmlns:xlrd2="http://schemas.microsoft.com/office/spreadsheetml/2017/richdata2" ref="A3:G45">
    <sortCondition ref="D2:D45"/>
  </sortState>
  <tableColumns count="7">
    <tableColumn id="1" xr3:uid="{51FEBC3D-1386-4C46-84E4-81ECE9899AAC}" name="Sl No." totalsRowLabel="Total" dataDxfId="119" totalsRowDxfId="118">
      <calculatedColumnFormula>SUBTOTAL(3,$B$3:Ascension_Flower[[#This Row],[Specialty]])</calculatedColumnFormula>
    </tableColumn>
    <tableColumn id="7" xr3:uid="{514C336B-AC58-4280-AB65-1C884595517B}" name="Specialty" dataDxfId="117" totalsRowDxfId="116">
      <calculatedColumnFormula>IFERROR(INDEX(LocalSpecialtiesImg[Icon], MATCH(Ascension_Flower[[#This Row],[HelperName]],LocalSpecialtiesImg[Name], 0)), "")</calculatedColumnFormula>
    </tableColumn>
    <tableColumn id="2" xr3:uid="{5EED3DFC-619A-4F6C-9F55-DFFA136B240B}" name="HelperName" dataDxfId="115" totalsRowDxfId="114"/>
    <tableColumn id="3" xr3:uid="{2E0BE8BD-94A9-45F3-87C2-A844CA07F639}" name="Link to Interactive Map" dataDxfId="113" totalsRowDxfId="112"/>
    <tableColumn id="4" xr3:uid="{C8723A94-0DF1-4181-95F1-5B2320ABDB29}" name="Need to Farm" totalsRowFunction="sum" dataDxfId="111" totalsRowDxfId="110">
      <calculatedColumnFormula>SUMIF(LocalSpecialties3[Local Specialties],Ascension_Flower[[#This Row],[Specialty]],LocalSpecialties3[Need to Farm])</calculatedColumnFormula>
    </tableColumn>
    <tableColumn id="5" xr3:uid="{7AEF3766-2EDE-467B-991F-AC7B238DD897}" name="Acquired" totalsRowFunction="sum" dataDxfId="109" totalsRowDxfId="108">
      <calculatedColumnFormula>IFERROR(INDEX(LocalSpecialtiesInv[Quantity], MATCH(Ascension_Flower[[#This Row],[Specialty]], LocalSpecialtiesInv[Icon], 0)), "")</calculatedColumnFormula>
    </tableColumn>
    <tableColumn id="6" xr3:uid="{C360486C-653F-4F56-9585-5C98BBC0A13D}" name="Remaining" totalsRowFunction="custom" dataDxfId="107" totalsRowDxfId="106">
      <calculatedColumnFormula>Ascension_Flower[[#This Row],[Need to Farm]]-Ascension_Flower[[#This Row],[Acquired]]</calculatedColumnFormula>
      <totalsRowFormula>SUMIF(Ascension_Flower[Remaining],"&gt;=0")</totalsRow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4C9A05-3E1A-4D50-ABD2-C5F97FDC037C}" name="Ascension_Stones4447" displayName="Ascension_Stones4447" ref="A3:Z12" totalsRowCount="1" headerRowDxfId="105" dataDxfId="104" totalsRowDxfId="103">
  <autoFilter ref="A3:Z11" xr:uid="{D441BC84-F527-45D1-9D47-971D432180E8}"/>
  <tableColumns count="26">
    <tableColumn id="1" xr3:uid="{3902D201-C449-42C3-857F-E377609DE69D}" name="Sl No." totalsRowLabel="Total" dataDxfId="102" totalsRowDxfId="101">
      <calculatedColumnFormula>SUBTOTAL(3,$B$4:Ascension_Stones4447[[#This Row],[Stone Name]])</calculatedColumnFormula>
    </tableColumn>
    <tableColumn id="2" xr3:uid="{C3CBE243-160B-413B-A802-80780FAD6C08}" name="Stone Name" totalsRowLabel="Total" dataDxfId="100" totalsRowDxfId="99"/>
    <tableColumn id="3" xr3:uid="{6BB3D62E-467F-4679-8576-178131A06DB8}" name="Gemstone" dataDxfId="98" totalsRowDxfId="97">
      <calculatedColumnFormula>IFERROR(INDEX(GemsImg[Icon], MATCH(_xlfn.CONCAT(Ascension_Stones4447[[#This Row],[Stone Name]],"Gemstone"), GemsImg[Name], 0)), "")</calculatedColumnFormula>
    </tableColumn>
    <tableColumn id="7" xr3:uid="{334D510A-828F-4EB8-B787-0B986E29ECB5}" name="Need to Farm1.1" totalsRowFunction="custom" dataDxfId="96" totalsRowDxfId="95">
      <calculatedColumnFormula>SUMIF(Gemstone[Stone Type],Ascension_Stones4447[[#This Row],[Gemstone]],Gemstone[Gemstone])</calculatedColumnFormula>
      <totalsRowFormula>SUMIF(Ascension_Stones4447[Need to Farm1.1],"&gt;=0")</totalsRowFormula>
    </tableColumn>
    <tableColumn id="10" xr3:uid="{21DD6D68-EE03-4E24-B4ED-84DC01701D52}" name="Chunk" dataDxfId="94" totalsRowDxfId="93">
      <calculatedColumnFormula>IFERROR(INDEX(GemsImg[Icon], MATCH(_xlfn.CONCAT(Ascension_Stones4447[[#This Row],[Stone Name]],"Chunk"), GemsImg[Name], 0)), "")</calculatedColumnFormula>
    </tableColumn>
    <tableColumn id="8" xr3:uid="{A421FF2C-B59D-4662-8F50-2C0494F3EC01}" name="Need to Farm1.2" totalsRowFunction="custom" dataDxfId="92" totalsRowDxfId="91">
      <calculatedColumnFormula>SUMIF(Gemstone[Stone Type],Ascension_Stones4447[[#This Row],[Gemstone]],Gemstone[Chunk])</calculatedColumnFormula>
      <totalsRowFormula>SUMIF(Ascension_Stones4447[Need to Farm1.2],"&gt;=0")</totalsRowFormula>
    </tableColumn>
    <tableColumn id="9" xr3:uid="{AF3F09D6-77A7-4FA4-A88B-13D025A3944D}" name="Fragment" dataDxfId="90" totalsRowDxfId="89">
      <calculatedColumnFormula>IFERROR(INDEX(GemsImg[Icon], MATCH(_xlfn.CONCAT(Ascension_Stones4447[[#This Row],[Stone Name]],"Fragment"), GemsImg[Name], 0)), "")</calculatedColumnFormula>
    </tableColumn>
    <tableColumn id="4" xr3:uid="{6AAE599E-F72A-45FD-88DE-AF3A269A533E}" name="Need to Farm1.3" totalsRowFunction="custom" dataDxfId="88" totalsRowDxfId="87">
      <calculatedColumnFormula>SUMIF(Gemstone[Stone Type],Ascension_Stones4447[[#This Row],[Gemstone]],Gemstone[Fragment])</calculatedColumnFormula>
      <totalsRowFormula>SUMIF(Ascension_Stones4447[Need to Farm1.3],"&gt;=0")</totalsRowFormula>
    </tableColumn>
    <tableColumn id="5" xr3:uid="{370DE459-91CF-4307-8BFD-3D2A9D53A5DE}" name="Silver" dataDxfId="86" totalsRowDxfId="85">
      <calculatedColumnFormula>IFERROR(INDEX(GemsImg[Icon], MATCH(_xlfn.CONCAT(Ascension_Stones4447[[#This Row],[Stone Name]],"Silver"), GemsImg[Name], 0)), "")</calculatedColumnFormula>
    </tableColumn>
    <tableColumn id="6" xr3:uid="{5824E7E5-CD75-47C2-AA39-760D72C4FD78}" name="Need to Farm1.4" totalsRowFunction="custom" dataDxfId="84" totalsRowDxfId="83">
      <calculatedColumnFormula>SUMIF(Gemstone[Stone Type],Ascension_Stones4447[[#This Row],[Gemstone]],Gemstone[Silver])</calculatedColumnFormula>
      <totalsRowFormula>SUMIF(Ascension_Stones4447[Need to Farm1.4],"&gt;=0")</totalsRowFormula>
    </tableColumn>
    <tableColumn id="11" xr3:uid="{87CA98AE-C78D-4212-AD9B-1D334FEF8B40}" name="Gemstone2" dataDxfId="82" totalsRowDxfId="81">
      <calculatedColumnFormula>IFERROR(INDEX(GemsImg[Icon], MATCH(_xlfn.CONCAT(Ascension_Stones4447[[#This Row],[Stone Name]],"Gemstone"), GemsImg[Name], 0)), "")</calculatedColumnFormula>
    </tableColumn>
    <tableColumn id="12" xr3:uid="{08BCD655-99AA-4E37-93EB-5F5314445F00}" name="Need to Farm2.1" totalsRowFunction="custom" dataDxfId="80" totalsRowDxfId="79">
      <calculatedColumnFormula>IFERROR(INDEX(GemsInv[Quantity], MATCH(Ascension_Stones4447[[#This Row],[Gemstone2]], GemsInv[Icon], 0)), "")</calculatedColumnFormula>
      <totalsRowFormula>SUMIF(Ascension_Stones4447[Need to Farm2.1],"&gt;=0")</totalsRowFormula>
    </tableColumn>
    <tableColumn id="13" xr3:uid="{B93F3940-098A-4BE8-956C-3F0D634E146D}" name="Chunk6" dataDxfId="78" totalsRowDxfId="77">
      <calculatedColumnFormula>IFERROR(INDEX(GemsImg[Icon], MATCH(_xlfn.CONCAT(Ascension_Stones4447[[#This Row],[Stone Name]],"Chunk"), GemsImg[Name], 0)), "")</calculatedColumnFormula>
    </tableColumn>
    <tableColumn id="14" xr3:uid="{69B47093-FBC3-4DDC-B350-EC61B7CC7C1B}" name="Need to Farm2.2" totalsRowFunction="custom" dataDxfId="76" totalsRowDxfId="75">
      <calculatedColumnFormula>IFERROR(INDEX(GemsInv[Quantity], MATCH(Ascension_Stones4447[[#This Row],[Chunk6]], GemsInv[Icon], 0)), "")</calculatedColumnFormula>
      <totalsRowFormula>SUMIF(Ascension_Stones4447[Need to Farm2.2],"&gt;=0")</totalsRowFormula>
    </tableColumn>
    <tableColumn id="15" xr3:uid="{745C286C-3625-4CCF-B34C-9BF69E04DF19}" name="Fragment11" dataDxfId="74" totalsRowDxfId="73">
      <calculatedColumnFormula>IFERROR(INDEX(GemsImg[Icon], MATCH(_xlfn.CONCAT(Ascension_Stones4447[[#This Row],[Stone Name]],"Fragment"), GemsImg[Name], 0)), "")</calculatedColumnFormula>
    </tableColumn>
    <tableColumn id="16" xr3:uid="{8D528068-97D8-45B3-8831-4285E79F1913}" name="Need to Farm2.3" totalsRowFunction="custom" dataDxfId="72" totalsRowDxfId="71">
      <calculatedColumnFormula>IFERROR(INDEX(GemsInv[Quantity], MATCH(Ascension_Stones4447[[#This Row],[Fragment11]], GemsInv[Icon], 0)), "")</calculatedColumnFormula>
      <totalsRowFormula>SUMIF(Ascension_Stones4447[Need to Farm2.3],"&gt;=0")</totalsRowFormula>
    </tableColumn>
    <tableColumn id="17" xr3:uid="{B315C653-7E1C-47DF-A6C7-410805E941C8}" name="Silver13" dataDxfId="70" totalsRowDxfId="69">
      <calculatedColumnFormula>IFERROR(INDEX(GemsImg[Icon], MATCH(_xlfn.CONCAT(Ascension_Stones4447[[#This Row],[Stone Name]],"Silver"), GemsImg[Name], 0)), "")</calculatedColumnFormula>
    </tableColumn>
    <tableColumn id="18" xr3:uid="{CF8CBB32-E342-4649-A85B-A7F97ECFCC8F}" name="Need to Farm2.4" totalsRowFunction="custom" dataDxfId="68" totalsRowDxfId="67">
      <calculatedColumnFormula>IFERROR(INDEX(GemsInv[Quantity], MATCH(Ascension_Stones4447[[#This Row],[Silver13]], GemsInv[Icon], 0)), "")</calculatedColumnFormula>
      <totalsRowFormula>SUMIF(Ascension_Stones4447[Need to Farm2.4],"&gt;=0")</totalsRowFormula>
    </tableColumn>
    <tableColumn id="19" xr3:uid="{35075740-F4DF-4148-98AB-015DBF8CCCCE}" name="Gemstone3" dataDxfId="66" totalsRowDxfId="65">
      <calculatedColumnFormula>IFERROR(INDEX(GemsImg[Icon], MATCH(_xlfn.CONCAT(Ascension_Stones4447[[#This Row],[Stone Name]],"Gemstone"), GemsImg[Name], 0)), "")</calculatedColumnFormula>
    </tableColumn>
    <tableColumn id="20" xr3:uid="{94BC09FE-1DC5-47E4-B27D-CC70F618CDBF}" name="Need to Farm3.1" totalsRowFunction="custom" dataDxfId="64" totalsRowDxfId="63">
      <calculatedColumnFormula>Ascension_Stones4447[[#This Row],[Need to Farm1.1]]-Ascension_Stones4447[[#This Row],[Need to Farm2.1]]</calculatedColumnFormula>
      <totalsRowFormula>SUMIF(Ascension_Stones4447[Need to Farm3.1],"&gt;=0")</totalsRowFormula>
    </tableColumn>
    <tableColumn id="21" xr3:uid="{3452593B-82E7-4ADB-A728-481A46AE8097}" name="Chunk7" dataDxfId="62" totalsRowDxfId="61">
      <calculatedColumnFormula>IFERROR(INDEX(GemsImg[Icon], MATCH(_xlfn.CONCAT(Ascension_Stones4447[[#This Row],[Stone Name]],"Chunk"), GemsImg[Name], 0)), "")</calculatedColumnFormula>
    </tableColumn>
    <tableColumn id="22" xr3:uid="{8BB02599-A368-4280-B284-72D02CFFF4B2}" name="Need to Farm3.2" totalsRowFunction="custom" dataDxfId="60" totalsRowDxfId="59">
      <calculatedColumnFormula>Ascension_Stones4447[[#This Row],[Need to Farm1.2]]-Ascension_Stones4447[[#This Row],[Need to Farm2.2]]</calculatedColumnFormula>
      <totalsRowFormula>SUMIF(Ascension_Stones4447[Need to Farm3.2],"&gt;=0")</totalsRowFormula>
    </tableColumn>
    <tableColumn id="23" xr3:uid="{5B63FAD4-1A5F-4A61-BA97-A56F7CA9574F}" name="Fragment12" dataDxfId="58" totalsRowDxfId="57">
      <calculatedColumnFormula>IFERROR(INDEX(GemsImg[Icon], MATCH(_xlfn.CONCAT(Ascension_Stones4447[[#This Row],[Stone Name]],"Fragment"), GemsImg[Name], 0)), "")</calculatedColumnFormula>
    </tableColumn>
    <tableColumn id="24" xr3:uid="{FFC6F94E-A0E4-485E-B6F0-D05802DAD84E}" name="Need to Farm3.3" totalsRowFunction="custom" dataDxfId="56" totalsRowDxfId="55">
      <calculatedColumnFormula>Ascension_Stones4447[[#This Row],[Need to Farm1.3]]-Ascension_Stones4447[[#This Row],[Need to Farm2.3]]</calculatedColumnFormula>
      <totalsRowFormula>SUMIF(Ascension_Stones4447[Need to Farm3.3],"&gt;=0")</totalsRowFormula>
    </tableColumn>
    <tableColumn id="25" xr3:uid="{9B7DCCC3-3F02-4420-A62E-5E8E7E883A23}" name="Silver14" dataDxfId="54" totalsRowDxfId="53">
      <calculatedColumnFormula>IFERROR(INDEX(GemsImg[Icon], MATCH(_xlfn.CONCAT(Ascension_Stones4447[[#This Row],[Stone Name]],"Silver"), GemsImg[Name], 0)), "")</calculatedColumnFormula>
    </tableColumn>
    <tableColumn id="26" xr3:uid="{BFA5A695-83F8-4BA2-AB7B-90429981260C}" name="Need to Farm3.4" totalsRowFunction="custom" dataDxfId="52" totalsRowDxfId="51">
      <calculatedColumnFormula>Ascension_Stones4447[[#This Row],[Need to Farm1.4]]-Ascension_Stones4447[[#This Row],[Need to Farm2.4]]</calculatedColumnFormula>
      <totalsRowFormula>SUMIF(Ascension_Stones4447[Need to Farm3.4],"&gt;=0")</totalsRow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790BAA-D9BD-4F0D-B279-02DEBC4A05B5}" name="Monster_Materials" displayName="Monster_Materials" ref="A3:X17" totalsRowCount="1" headerRowDxfId="50" dataDxfId="49" totalsRowDxfId="48">
  <autoFilter ref="A3:X16" xr:uid="{EF6DC38F-9522-4CC1-A0E2-54BB0746C847}"/>
  <sortState xmlns:xlrd2="http://schemas.microsoft.com/office/spreadsheetml/2017/richdata2" ref="A4:X16">
    <sortCondition ref="F3:F16"/>
  </sortState>
  <tableColumns count="24">
    <tableColumn id="1" xr3:uid="{ECF6DA46-46F5-4E3A-A43B-07A3A012EF2D}" name="Sl No." totalsRowLabel="Total" dataDxfId="47" totalsRowDxfId="23">
      <calculatedColumnFormula>SUBTOTAL(3,$B$4:Monster_Materials[[#This Row],[Link to Interactive Map]])</calculatedColumnFormula>
    </tableColumn>
    <tableColumn id="2" xr3:uid="{D35C18E8-5E75-4BA1-8EDE-2F9C02ABD0EC}" name="Link to Interactive Map" dataDxfId="46" totalsRowDxfId="22"/>
    <tableColumn id="26" xr3:uid="{B8E98898-B5FE-4AAD-99C0-6B87269176EA}" name="HelperName3*" dataDxfId="45" totalsRowDxfId="21" dataCellStyle="Hyperlink"/>
    <tableColumn id="28" xr3:uid="{4493B949-E822-4129-9D44-0FB8BFA7335B}" name="HelperName2*" dataDxfId="44" totalsRowDxfId="20" dataCellStyle="Hyperlink"/>
    <tableColumn id="27" xr3:uid="{F3236BB7-D2E1-4141-8081-B5D53FB7585F}" name="HelperName1*" dataDxfId="43" totalsRowDxfId="19" dataCellStyle="Hyperlink"/>
    <tableColumn id="7" xr3:uid="{93E72A5F-EE10-4F6C-9FA6-0DA944789027}" name="Version Released" dataDxfId="42" totalsRowDxfId="18"/>
    <tableColumn id="3" xr3:uid="{26D624C4-25AE-4F0C-8A85-62CB6CEDF684}" name="3* Mats" dataDxfId="41" totalsRowDxfId="17">
      <calculatedColumnFormula>IFERROR(INDEX(MonsterMaterialsImg[3*Icon], MATCH(Monster_Materials[[#This Row],[HelperName3*]], MonsterMaterialsImg[3*Name], 0)), "")</calculatedColumnFormula>
    </tableColumn>
    <tableColumn id="10" xr3:uid="{34B62BF6-C51C-4934-A9F3-27E600E1EC6A}" name="Need1" totalsRowFunction="custom" dataDxfId="40" totalsRowDxfId="16">
      <calculatedColumnFormula>(SUMIF(MonsterMaterials[Material Type],Monster_Materials[[#This Row],[3* Mats]],MonsterMaterials[3* (Asc)]))+(SUMIF(MonsterMaterials[Material Type],Monster_Materials[[#This Row],[3* Mats]],MonsterMaterials[3* (Tal)]))</calculatedColumnFormula>
      <totalsRowFormula>SUMIF(Monster_Materials[Need1],"&gt;=0")</totalsRowFormula>
    </tableColumn>
    <tableColumn id="11" xr3:uid="{247B3290-5F7E-48F1-8B39-3AD2EA423003}" name="2* Mats" dataDxfId="39" totalsRowDxfId="15">
      <calculatedColumnFormula>IFERROR(INDEX(MonsterMaterialsImg[2*Icon], MATCH(Monster_Materials[[#This Row],[HelperName2*]], MonsterMaterialsImg[2*Name], 0)), "")</calculatedColumnFormula>
    </tableColumn>
    <tableColumn id="12" xr3:uid="{4FCC8105-E28D-4955-B455-0AB36879E3E1}" name="Need2" totalsRowFunction="custom" dataDxfId="38" totalsRowDxfId="14">
      <calculatedColumnFormula>(SUMIF(MonsterMaterials[Material Type],Monster_Materials[[#This Row],[3* Mats]],MonsterMaterials[2* (Asc)]))+(SUMIF(MonsterMaterials[Material Type],Monster_Materials[[#This Row],[3* Mats]],MonsterMaterials[2* (Tal)]))</calculatedColumnFormula>
      <totalsRowFormula>SUMIF(Monster_Materials[Need2],"&gt;=0")</totalsRowFormula>
    </tableColumn>
    <tableColumn id="13" xr3:uid="{44FE3CAC-EAFF-43D7-807F-B5F18784B53B}" name="1* Mats" dataDxfId="37" totalsRowDxfId="13">
      <calculatedColumnFormula>IFERROR(INDEX(MonsterMaterialsImg[1*Icon], MATCH(Monster_Materials[[#This Row],[HelperName1*]], MonsterMaterialsImg[1*Name], 0)), "")</calculatedColumnFormula>
    </tableColumn>
    <tableColumn id="14" xr3:uid="{E02FB3DE-28C4-4DCE-BBB6-7E051FCBA83F}" name="Need3" totalsRowFunction="custom" dataDxfId="36" totalsRowDxfId="12">
      <calculatedColumnFormula>(SUMIF(MonsterMaterials[Material Type],Monster_Materials[[#This Row],[3* Mats]],MonsterMaterials[1* (Asc)]))+(SUMIF(MonsterMaterials[Material Type],Monster_Materials[[#This Row],[3* Mats]],MonsterMaterials[1* (Tal)]))</calculatedColumnFormula>
      <totalsRowFormula>SUMIF(Monster_Materials[Need3],"&gt;=0")</totalsRowFormula>
    </tableColumn>
    <tableColumn id="15" xr3:uid="{59048AB7-D221-446B-B575-D6242B10C5ED}" name="3* Mats2" dataDxfId="35" totalsRowDxfId="11">
      <calculatedColumnFormula>IFERROR(INDEX(MonsterMaterialsImg[3*Icon], MATCH(Monster_Materials[[#This Row],[HelperName3*]], MonsterMaterialsImg[3*Name], 0)), "")</calculatedColumnFormula>
    </tableColumn>
    <tableColumn id="16" xr3:uid="{05210CD1-5062-4C9A-8FAE-9DC948952D62}" name="Acquired1" totalsRowFunction="custom" dataDxfId="34" totalsRowDxfId="10">
      <calculatedColumnFormula>IFERROR(INDEX(MonsterMaterialsInv[3* Quantity], MATCH(Monster_Materials[[#This Row],[3* Mats2]], MonsterMaterialsInv[3* Icon], 0)), "")</calculatedColumnFormula>
      <totalsRowFormula>SUMIF(Monster_Materials[Acquired1],"&gt;=0")</totalsRowFormula>
    </tableColumn>
    <tableColumn id="17" xr3:uid="{282EFCF7-300B-4F76-A7D7-37BF091FFF7C}" name="2* Mats2" dataDxfId="33" totalsRowDxfId="9">
      <calculatedColumnFormula>IFERROR(INDEX(MonsterMaterialsImg[2*Icon], MATCH(Monster_Materials[[#This Row],[HelperName2*]], MonsterMaterialsImg[2*Name], 0)), "")</calculatedColumnFormula>
    </tableColumn>
    <tableColumn id="18" xr3:uid="{081CE9EC-D967-495B-AA5A-6A0B8331DDC4}" name="Acquired2" totalsRowFunction="custom" dataDxfId="32" totalsRowDxfId="8">
      <calculatedColumnFormula>IFERROR(INDEX(MonsterMaterialsInv[2* Quantity], MATCH(Monster_Materials[[#This Row],[2* Mats2]], MonsterMaterialsInv[2* Icon], 0)), "")</calculatedColumnFormula>
      <totalsRowFormula>SUMIF(Monster_Materials[Acquired2],"&gt;=0")</totalsRowFormula>
    </tableColumn>
    <tableColumn id="19" xr3:uid="{021B2FE9-D36A-4F7F-B6D4-3CB8DDFCB5D1}" name="1* Mats2" dataDxfId="31" totalsRowDxfId="7">
      <calculatedColumnFormula>IFERROR(INDEX(MonsterMaterialsImg[1*Icon], MATCH(Monster_Materials[[#This Row],[HelperName1*]], MonsterMaterialsImg[1*Name], 0)), "")</calculatedColumnFormula>
    </tableColumn>
    <tableColumn id="5" xr3:uid="{0F0FA735-A443-4BFE-9EAF-A7C072949FBB}" name="Acquired3" totalsRowFunction="custom" dataDxfId="30" totalsRowDxfId="6">
      <calculatedColumnFormula>IFERROR(INDEX(MonsterMaterialsInv[1* Quantity], MATCH(Monster_Materials[[#This Row],[1* Mats2]], MonsterMaterialsInv[1* Icon], 0)), "")</calculatedColumnFormula>
      <totalsRowFormula>SUMIF(Monster_Materials[Acquired3],"&gt;=0")</totalsRowFormula>
    </tableColumn>
    <tableColumn id="20" xr3:uid="{A8AAB874-3386-486A-9923-31F8872FFD73}" name="3* Mats3" dataDxfId="29" totalsRowDxfId="5">
      <calculatedColumnFormula>IFERROR(INDEX(MonsterMaterialsImg[3*Icon], MATCH(Monster_Materials[[#This Row],[HelperName3*]], MonsterMaterialsImg[3*Name], 0)), "")</calculatedColumnFormula>
    </tableColumn>
    <tableColumn id="21" xr3:uid="{BF864C5F-B0B2-47DA-A216-F938F018A0AA}" name="Remaining1" totalsRowFunction="custom" dataDxfId="28" totalsRowDxfId="4">
      <calculatedColumnFormula>Monster_Materials[[#This Row],[Need1]]-Monster_Materials[[#This Row],[Acquired1]]</calculatedColumnFormula>
      <totalsRowFormula>SUMIF(Monster_Materials[Remaining1],"&gt;=0")</totalsRowFormula>
    </tableColumn>
    <tableColumn id="22" xr3:uid="{9781FD4C-138D-4DDC-9948-D55692A0D883}" name="2* Mats3" dataDxfId="27" totalsRowDxfId="3">
      <calculatedColumnFormula>IFERROR(INDEX(MonsterMaterialsImg[2*Icon], MATCH(Monster_Materials[[#This Row],[HelperName2*]], MonsterMaterialsImg[2*Name], 0)), "")</calculatedColumnFormula>
    </tableColumn>
    <tableColumn id="23" xr3:uid="{C960716F-02F1-4640-8632-CFA8E0EB39FE}" name="Remaining2" totalsRowFunction="custom" dataDxfId="26" totalsRowDxfId="2">
      <calculatedColumnFormula>Monster_Materials[[#This Row],[Need2]]-Monster_Materials[[#This Row],[Acquired2]]</calculatedColumnFormula>
      <totalsRowFormula>SUMIF(Monster_Materials[Remaining2],"&gt;=0")</totalsRowFormula>
    </tableColumn>
    <tableColumn id="24" xr3:uid="{7A7041F3-7715-4B56-A6F9-E675A3167458}" name="1* Mats3" dataDxfId="25" totalsRowDxfId="1">
      <calculatedColumnFormula>IFERROR(INDEX(MonsterMaterialsImg[1*Icon], MATCH(Monster_Materials[[#This Row],[HelperName1*]], MonsterMaterialsImg[1*Name], 0)), "")</calculatedColumnFormula>
    </tableColumn>
    <tableColumn id="6" xr3:uid="{97CC42D0-5881-41F5-A3E4-AE9CAAFA6F1F}" name="Remaining3" totalsRowFunction="custom" dataDxfId="24" totalsRowDxfId="0">
      <calculatedColumnFormula>Monster_Materials[[#This Row],[Need3]]-Monster_Materials[[#This Row],[Acquired3]]</calculatedColumnFormula>
      <totalsRowFormula>SUMIF(Monster_Materials[Remaining3],"&gt;=0")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6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6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65.emf"/><Relationship Id="rId5" Type="http://schemas.openxmlformats.org/officeDocument/2006/relationships/image" Target="../media/image562.emf"/><Relationship Id="rId15" Type="http://schemas.openxmlformats.org/officeDocument/2006/relationships/image" Target="../media/image56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64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comments" Target="../comments2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table" Target="../tables/table38.xm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table" Target="../tables/table40.xm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workbookViewId="0">
      <selection activeCell="K11" sqref="K11"/>
    </sheetView>
  </sheetViews>
  <sheetFormatPr defaultColWidth="9.140625" defaultRowHeight="15" x14ac:dyDescent="0.25"/>
  <cols>
    <col min="1" max="2" width="25" style="1" customWidth="1"/>
    <col min="3" max="3" width="2.28515625" style="1" customWidth="1"/>
    <col min="4" max="5" width="25" style="1" customWidth="1"/>
    <col min="6" max="6" width="2.28515625" style="1" customWidth="1"/>
    <col min="7" max="8" width="25" style="1" customWidth="1"/>
    <col min="9" max="9" width="2.28515625" style="1" customWidth="1"/>
    <col min="10" max="10" width="9.140625" style="1"/>
    <col min="11" max="11" width="22.7109375" style="1" bestFit="1" customWidth="1"/>
    <col min="12" max="12" width="19.85546875" style="1" bestFit="1" customWidth="1"/>
    <col min="13" max="13" width="2.28515625" style="1" customWidth="1"/>
    <col min="14" max="16384" width="9.140625" style="1"/>
  </cols>
  <sheetData>
    <row r="1" spans="1:11" ht="15.75" thickBot="1" x14ac:dyDescent="0.3"/>
    <row r="2" spans="1:11" x14ac:dyDescent="0.25">
      <c r="A2" s="20" t="s">
        <v>0</v>
      </c>
      <c r="B2" s="21" t="s">
        <v>1</v>
      </c>
      <c r="D2" s="20" t="s">
        <v>2</v>
      </c>
      <c r="E2" s="21" t="s">
        <v>3</v>
      </c>
      <c r="G2" s="20" t="s">
        <v>4</v>
      </c>
      <c r="H2" s="21" t="s">
        <v>5</v>
      </c>
      <c r="J2" s="196" t="s">
        <v>6</v>
      </c>
      <c r="K2" s="196"/>
    </row>
    <row r="3" spans="1:11" x14ac:dyDescent="0.25">
      <c r="A3" s="22" t="s">
        <v>7</v>
      </c>
      <c r="B3" s="23">
        <v>5</v>
      </c>
      <c r="D3" s="22" t="s">
        <v>8</v>
      </c>
      <c r="E3" s="24" t="s">
        <v>9</v>
      </c>
      <c r="G3" s="22" t="s">
        <v>10</v>
      </c>
      <c r="H3" s="24" t="s">
        <v>11</v>
      </c>
      <c r="J3" s="196"/>
      <c r="K3" s="196"/>
    </row>
    <row r="4" spans="1:11" x14ac:dyDescent="0.25">
      <c r="A4" s="25"/>
      <c r="B4" s="26"/>
      <c r="D4" s="22" t="s">
        <v>12</v>
      </c>
      <c r="E4" s="24" t="s">
        <v>13</v>
      </c>
      <c r="G4" s="22" t="s">
        <v>14</v>
      </c>
      <c r="H4" s="24" t="s">
        <v>15</v>
      </c>
      <c r="J4" s="196"/>
      <c r="K4" s="196"/>
    </row>
    <row r="5" spans="1:11" x14ac:dyDescent="0.25">
      <c r="A5" s="25"/>
      <c r="B5" s="26"/>
      <c r="D5" s="22" t="s">
        <v>16</v>
      </c>
      <c r="E5" s="24" t="s">
        <v>17</v>
      </c>
      <c r="G5" s="22" t="s">
        <v>18</v>
      </c>
      <c r="H5" s="24" t="s">
        <v>19</v>
      </c>
      <c r="J5" s="196"/>
      <c r="K5" s="196"/>
    </row>
    <row r="6" spans="1:11" x14ac:dyDescent="0.25">
      <c r="A6" s="25"/>
      <c r="B6" s="26"/>
      <c r="D6" s="22" t="s">
        <v>7</v>
      </c>
      <c r="E6" s="23">
        <v>5</v>
      </c>
      <c r="G6" s="22" t="s">
        <v>7</v>
      </c>
      <c r="H6" s="23">
        <v>5</v>
      </c>
    </row>
    <row r="7" spans="1:11" x14ac:dyDescent="0.25">
      <c r="A7" s="25"/>
      <c r="B7" s="26"/>
      <c r="D7" s="25"/>
      <c r="E7" s="26"/>
      <c r="G7" s="25"/>
      <c r="H7" s="26"/>
    </row>
    <row r="8" spans="1:11" x14ac:dyDescent="0.25">
      <c r="A8" s="25"/>
      <c r="B8" s="26"/>
      <c r="D8" s="25"/>
      <c r="E8" s="26"/>
      <c r="G8" s="25"/>
      <c r="H8" s="26"/>
    </row>
    <row r="9" spans="1:11" x14ac:dyDescent="0.25">
      <c r="A9" s="25"/>
      <c r="B9" s="26"/>
      <c r="D9" s="25"/>
      <c r="E9" s="26"/>
      <c r="G9" s="25"/>
      <c r="H9" s="26"/>
    </row>
    <row r="10" spans="1:11" x14ac:dyDescent="0.25">
      <c r="A10" s="25"/>
      <c r="B10" s="26"/>
      <c r="D10" s="25"/>
      <c r="E10" s="26"/>
      <c r="G10" s="25"/>
      <c r="H10" s="26"/>
    </row>
    <row r="11" spans="1:11" ht="15.75" thickBot="1" x14ac:dyDescent="0.3">
      <c r="A11" s="27"/>
      <c r="B11" s="28"/>
      <c r="D11" s="27"/>
      <c r="E11" s="28"/>
      <c r="G11" s="27"/>
      <c r="H11" s="28"/>
    </row>
    <row r="14" spans="1:11" ht="15.75" thickBot="1" x14ac:dyDescent="0.3"/>
    <row r="15" spans="1:11" ht="30" customHeight="1" x14ac:dyDescent="0.25">
      <c r="A15" s="20" t="s">
        <v>20</v>
      </c>
      <c r="B15" s="21" t="s">
        <v>21</v>
      </c>
      <c r="D15" s="20" t="s">
        <v>22</v>
      </c>
      <c r="E15" s="21" t="s">
        <v>23</v>
      </c>
      <c r="G15" s="20" t="s">
        <v>24</v>
      </c>
      <c r="H15" s="29" t="s">
        <v>25</v>
      </c>
      <c r="J15" s="30" t="s">
        <v>26</v>
      </c>
    </row>
    <row r="16" spans="1:11" ht="30" customHeight="1" x14ac:dyDescent="0.25">
      <c r="A16" s="31"/>
      <c r="B16" s="32"/>
      <c r="D16" s="22" t="s">
        <v>27</v>
      </c>
      <c r="E16" s="24" t="s">
        <v>28</v>
      </c>
      <c r="G16" s="22" t="s">
        <v>29</v>
      </c>
      <c r="H16" s="24" t="e" vm="1">
        <v>#VALUE!</v>
      </c>
      <c r="J16" s="30" t="s">
        <v>30</v>
      </c>
    </row>
    <row r="17" spans="1:12" ht="30" customHeight="1" x14ac:dyDescent="0.25">
      <c r="A17" s="25"/>
      <c r="B17" s="26"/>
      <c r="D17" s="22" t="s">
        <v>31</v>
      </c>
      <c r="E17" s="24" t="s">
        <v>23</v>
      </c>
      <c r="G17" s="22" t="s">
        <v>7</v>
      </c>
      <c r="H17" s="23">
        <v>4.8</v>
      </c>
      <c r="J17" s="30" t="s">
        <v>32</v>
      </c>
    </row>
    <row r="18" spans="1:12" ht="30" customHeight="1" x14ac:dyDescent="0.25">
      <c r="A18" s="25"/>
      <c r="B18" s="26"/>
      <c r="D18" s="22" t="s">
        <v>33</v>
      </c>
      <c r="E18" s="24" t="s">
        <v>34</v>
      </c>
      <c r="G18" s="22" t="s">
        <v>0</v>
      </c>
      <c r="H18" s="24" t="s">
        <v>35</v>
      </c>
      <c r="J18" s="30" t="s">
        <v>30</v>
      </c>
    </row>
    <row r="19" spans="1:12" ht="30" customHeight="1" x14ac:dyDescent="0.25">
      <c r="A19" s="25"/>
      <c r="B19" s="26"/>
      <c r="D19" s="22" t="s">
        <v>7</v>
      </c>
      <c r="E19" s="23">
        <v>5</v>
      </c>
      <c r="G19" s="22" t="s">
        <v>36</v>
      </c>
      <c r="H19" s="24" t="s">
        <v>37</v>
      </c>
      <c r="J19" s="30" t="s">
        <v>30</v>
      </c>
    </row>
    <row r="20" spans="1:12" ht="30" customHeight="1" x14ac:dyDescent="0.25">
      <c r="A20" s="25"/>
      <c r="B20" s="26"/>
      <c r="D20" s="25"/>
      <c r="E20" s="26"/>
      <c r="G20" s="22" t="s">
        <v>4</v>
      </c>
      <c r="H20" s="24" t="s">
        <v>38</v>
      </c>
      <c r="J20" s="30" t="s">
        <v>30</v>
      </c>
    </row>
    <row r="21" spans="1:12" ht="30" customHeight="1" x14ac:dyDescent="0.25">
      <c r="A21" s="25"/>
      <c r="B21" s="26"/>
      <c r="D21" s="25"/>
      <c r="E21" s="26"/>
      <c r="G21" s="22" t="s">
        <v>39</v>
      </c>
      <c r="H21" s="24" t="s">
        <v>40</v>
      </c>
      <c r="J21" s="30" t="s">
        <v>30</v>
      </c>
    </row>
    <row r="22" spans="1:12" ht="30" customHeight="1" x14ac:dyDescent="0.25">
      <c r="A22" s="25"/>
      <c r="B22" s="26"/>
      <c r="D22" s="25"/>
      <c r="E22" s="26"/>
      <c r="G22" s="22" t="s">
        <v>20</v>
      </c>
      <c r="H22" s="24" t="s">
        <v>41</v>
      </c>
      <c r="J22" s="30" t="s">
        <v>30</v>
      </c>
    </row>
    <row r="23" spans="1:12" ht="30" customHeight="1" x14ac:dyDescent="0.25">
      <c r="A23" s="25"/>
      <c r="B23" s="26"/>
      <c r="D23" s="25"/>
      <c r="E23" s="26"/>
      <c r="G23" s="22" t="s">
        <v>42</v>
      </c>
      <c r="H23" s="24" t="e" vm="2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#VALUE!</v>
      </c>
      <c r="J23" s="30" t="s">
        <v>43</v>
      </c>
    </row>
    <row r="24" spans="1:12" ht="30" customHeight="1" thickBot="1" x14ac:dyDescent="0.3">
      <c r="A24" s="27"/>
      <c r="B24" s="28"/>
      <c r="D24" s="27"/>
      <c r="E24" s="28"/>
      <c r="G24" s="33" t="s">
        <v>22</v>
      </c>
      <c r="H24" s="34" t="s">
        <v>44</v>
      </c>
      <c r="J24" s="30" t="s">
        <v>30</v>
      </c>
    </row>
    <row r="26" spans="1:12" x14ac:dyDescent="0.25">
      <c r="J26" s="30" t="s">
        <v>45</v>
      </c>
    </row>
    <row r="27" spans="1:12" x14ac:dyDescent="0.25">
      <c r="J27" s="30" t="s">
        <v>46</v>
      </c>
    </row>
    <row r="28" spans="1:12" x14ac:dyDescent="0.25">
      <c r="J28" s="30" t="s">
        <v>47</v>
      </c>
    </row>
    <row r="29" spans="1:12" x14ac:dyDescent="0.25">
      <c r="J29" s="30" t="s">
        <v>48</v>
      </c>
      <c r="L29" s="35"/>
    </row>
  </sheetData>
  <mergeCells count="1">
    <mergeCell ref="J2:K5"/>
  </mergeCells>
  <dataValidations count="2">
    <dataValidation type="list" allowBlank="1" showInputMessage="1" showErrorMessage="1" sqref="H18" xr:uid="{52A2168F-B676-42DF-B1E9-1B2060767213}">
      <formula1>INDIRECT("World_Boss[World Boss]")</formula1>
    </dataValidation>
    <dataValidation type="list" allowBlank="1" showInputMessage="1" showErrorMessage="1" sqref="H20 H24" xr:uid="{9B79BBDA-3691-4808-B900-1277549F7212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4" r:id="rId4" name="WorldBoss">
          <controlPr defaultSize="0" autoFill="0" autoLine="0" r:id="rId5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4" name="WorldBoss"/>
      </mc:Fallback>
    </mc:AlternateContent>
    <mc:AlternateContent xmlns:mc="http://schemas.openxmlformats.org/markup-compatibility/2006">
      <mc:Choice Requires="x14">
        <control shapeId="3103" r:id="rId6" name="TalentBook">
          <controlPr defaultSize="0" autoFill="0" autoLine="0" r:id="rId7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6" name="TalentBook"/>
      </mc:Fallback>
    </mc:AlternateContent>
    <mc:AlternateContent xmlns:mc="http://schemas.openxmlformats.org/markup-compatibility/2006">
      <mc:Choice Requires="x14">
        <control shapeId="3102" r:id="rId8" name="WeeklyBoss">
          <controlPr defaultSize="0" autoFill="0" autoLine="0" r:id="rId9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8" name="WeeklyBoss"/>
      </mc:Fallback>
    </mc:AlternateContent>
    <mc:AlternateContent xmlns:mc="http://schemas.openxmlformats.org/markup-compatibility/2006">
      <mc:Choice Requires="x14">
        <control shapeId="3091" r:id="rId10" name="AscensionFlower">
          <controlPr defaultSize="0" autoFill="0" autoLine="0" r:id="rId11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10" name="AscensionFlower"/>
      </mc:Fallback>
    </mc:AlternateContent>
    <mc:AlternateContent xmlns:mc="http://schemas.openxmlformats.org/markup-compatibility/2006">
      <mc:Choice Requires="x14">
        <control shapeId="3090" r:id="rId12" name="AscensionMob">
          <controlPr defaultSize="0" autoFill="0" autoLine="0" r:id="rId13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12" name="AscensionMob"/>
      </mc:Fallback>
    </mc:AlternateContent>
    <mc:AlternateContent xmlns:mc="http://schemas.openxmlformats.org/markup-compatibility/2006">
      <mc:Choice Requires="x14">
        <control shapeId="3080" r:id="rId14" name="SummeryTable">
          <controlPr defaultSize="0" autoFill="0" autoLine="0" r:id="rId1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14" name="Summery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13BE93-6908-4BE6-A744-76162D94AEFC}">
          <x14:formula1>
            <xm:f>ImgDatabase!$AW$3:$AW$9</xm:f>
          </x14:formula1>
          <xm:sqref>H16</xm:sqref>
        </x14:dataValidation>
        <x14:dataValidation type="list" allowBlank="1" showInputMessage="1" showErrorMessage="1" xr:uid="{65243138-E743-4B96-845A-A93C44F96748}">
          <x14:formula1>
            <xm:f>'Talent Books'!$C4:$C18</xm:f>
          </x14:formula1>
          <xm:sqref>H19</xm:sqref>
        </x14:dataValidation>
        <x14:dataValidation type="list" allowBlank="1" showInputMessage="1" showErrorMessage="1" xr:uid="{5AD1D6E0-97F2-4FF3-B71C-5FA3C7F990A1}">
          <x14:formula1>
            <xm:f>'Weekly Boss'!$D3:$D32</xm:f>
          </x14:formula1>
          <xm:sqref>H21</xm:sqref>
        </x14:dataValidation>
        <x14:dataValidation type="list" allowBlank="1" showInputMessage="1" showErrorMessage="1" xr:uid="{5A75AB17-40C9-406D-AC03-954B470DCF08}">
          <x14:formula1>
            <xm:f>'Local Specialties'!$D3:$D4645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workbookViewId="0">
      <selection activeCell="K11" sqref="K11"/>
    </sheetView>
  </sheetViews>
  <sheetFormatPr defaultRowHeight="15" x14ac:dyDescent="0.2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N1" t="s">
        <v>61</v>
      </c>
      <c r="O1" t="s">
        <v>50</v>
      </c>
      <c r="P1" t="s">
        <v>62</v>
      </c>
      <c r="Q1" t="s">
        <v>63</v>
      </c>
      <c r="R1" t="s">
        <v>64</v>
      </c>
      <c r="S1" t="s">
        <v>57</v>
      </c>
      <c r="T1" t="s">
        <v>58</v>
      </c>
      <c r="U1" t="s">
        <v>59</v>
      </c>
      <c r="V1" t="s">
        <v>39</v>
      </c>
      <c r="W1" t="s">
        <v>65</v>
      </c>
    </row>
    <row r="2" spans="1:23" x14ac:dyDescent="0.25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 x14ac:dyDescent="0.25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 x14ac:dyDescent="0.25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 x14ac:dyDescent="0.25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 x14ac:dyDescent="0.25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 x14ac:dyDescent="0.25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 x14ac:dyDescent="0.25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 x14ac:dyDescent="0.25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 x14ac:dyDescent="0.25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 x14ac:dyDescent="0.25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 x14ac:dyDescent="0.25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 x14ac:dyDescent="0.25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 x14ac:dyDescent="0.25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 x14ac:dyDescent="0.25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 x14ac:dyDescent="0.25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 x14ac:dyDescent="0.25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 x14ac:dyDescent="0.25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 x14ac:dyDescent="0.25">
      <c r="A20">
        <v>19</v>
      </c>
      <c r="B20" s="14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 x14ac:dyDescent="0.25">
      <c r="A21">
        <v>20</v>
      </c>
      <c r="B21" s="14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 x14ac:dyDescent="0.25">
      <c r="A22">
        <v>21</v>
      </c>
      <c r="B22" s="14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 x14ac:dyDescent="0.25">
      <c r="A23">
        <v>22</v>
      </c>
      <c r="B23" s="14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 x14ac:dyDescent="0.25">
      <c r="A24">
        <v>23</v>
      </c>
      <c r="B24" s="14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 x14ac:dyDescent="0.25">
      <c r="A25">
        <v>24</v>
      </c>
      <c r="B25" s="14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 x14ac:dyDescent="0.25">
      <c r="A26">
        <v>25</v>
      </c>
      <c r="B26" s="14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 x14ac:dyDescent="0.25">
      <c r="A27">
        <v>26</v>
      </c>
      <c r="B27" s="14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 x14ac:dyDescent="0.25">
      <c r="A28">
        <v>27</v>
      </c>
      <c r="B28" s="14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 x14ac:dyDescent="0.25">
      <c r="A29">
        <v>28</v>
      </c>
      <c r="B29" s="14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 x14ac:dyDescent="0.25">
      <c r="A30">
        <v>29</v>
      </c>
      <c r="B30" s="14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 x14ac:dyDescent="0.25">
      <c r="A31">
        <v>30</v>
      </c>
      <c r="B31" s="14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 x14ac:dyDescent="0.25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 x14ac:dyDescent="0.25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 x14ac:dyDescent="0.25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 x14ac:dyDescent="0.25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 x14ac:dyDescent="0.25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 x14ac:dyDescent="0.25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 x14ac:dyDescent="0.25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 x14ac:dyDescent="0.25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 x14ac:dyDescent="0.25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 x14ac:dyDescent="0.25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 x14ac:dyDescent="0.25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 x14ac:dyDescent="0.25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 x14ac:dyDescent="0.25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 x14ac:dyDescent="0.25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 x14ac:dyDescent="0.25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 x14ac:dyDescent="0.25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 x14ac:dyDescent="0.25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 x14ac:dyDescent="0.25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 x14ac:dyDescent="0.25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 x14ac:dyDescent="0.25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 x14ac:dyDescent="0.25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 x14ac:dyDescent="0.25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 x14ac:dyDescent="0.25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 x14ac:dyDescent="0.25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 x14ac:dyDescent="0.25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 x14ac:dyDescent="0.25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 x14ac:dyDescent="0.25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 x14ac:dyDescent="0.25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 x14ac:dyDescent="0.25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 x14ac:dyDescent="0.25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 x14ac:dyDescent="0.25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 x14ac:dyDescent="0.25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 x14ac:dyDescent="0.25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 x14ac:dyDescent="0.25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 x14ac:dyDescent="0.25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 x14ac:dyDescent="0.25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 x14ac:dyDescent="0.25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 x14ac:dyDescent="0.25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 x14ac:dyDescent="0.25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 x14ac:dyDescent="0.25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 x14ac:dyDescent="0.25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 x14ac:dyDescent="0.25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 x14ac:dyDescent="0.25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 x14ac:dyDescent="0.25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 x14ac:dyDescent="0.25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 x14ac:dyDescent="0.25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 x14ac:dyDescent="0.25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 x14ac:dyDescent="0.25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 x14ac:dyDescent="0.25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 x14ac:dyDescent="0.25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 x14ac:dyDescent="0.25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BD176"/>
  <sheetViews>
    <sheetView workbookViewId="0">
      <selection activeCell="K11" sqref="K11"/>
    </sheetView>
  </sheetViews>
  <sheetFormatPr defaultColWidth="9.140625" defaultRowHeight="15" x14ac:dyDescent="0.25"/>
  <cols>
    <col min="1" max="1" width="9.42578125" style="2" bestFit="1" customWidth="1"/>
    <col min="2" max="2" width="22.5703125" style="2" bestFit="1" customWidth="1"/>
    <col min="3" max="3" width="1.42578125" style="2" customWidth="1"/>
    <col min="4" max="4" width="12.7109375" style="2" bestFit="1" customWidth="1"/>
    <col min="5" max="5" width="16.5703125" style="2" customWidth="1"/>
    <col min="6" max="14" width="9.140625" style="2"/>
    <col min="15" max="15" width="1.42578125" style="2" customWidth="1"/>
    <col min="16" max="16" width="9.42578125" style="2" bestFit="1" customWidth="1"/>
    <col min="17" max="17" width="21.7109375" style="2" customWidth="1"/>
    <col min="18" max="18" width="16.5703125" style="2" customWidth="1"/>
    <col min="19" max="19" width="1.42578125" style="2" customWidth="1"/>
    <col min="20" max="20" width="9.42578125" style="2" bestFit="1" customWidth="1"/>
    <col min="21" max="21" width="14.85546875" style="2" customWidth="1"/>
    <col min="22" max="22" width="16.5703125" style="2" customWidth="1"/>
    <col min="23" max="23" width="1.42578125" style="2" customWidth="1"/>
    <col min="24" max="25" width="13.42578125" style="2" customWidth="1"/>
    <col min="26" max="30" width="11.42578125" style="2" customWidth="1"/>
    <col min="31" max="31" width="1.42578125" style="2" customWidth="1"/>
    <col min="32" max="32" width="9.42578125" style="2" bestFit="1" customWidth="1"/>
    <col min="33" max="33" width="26.5703125" style="2" bestFit="1" customWidth="1"/>
    <col min="34" max="34" width="1.42578125" style="2" customWidth="1"/>
    <col min="35" max="35" width="9.42578125" style="2" bestFit="1" customWidth="1"/>
    <col min="36" max="36" width="16.5703125" style="2" customWidth="1"/>
    <col min="37" max="37" width="1.42578125" style="2" customWidth="1"/>
    <col min="38" max="38" width="9.42578125" style="2" bestFit="1" customWidth="1"/>
    <col min="39" max="39" width="26.140625" style="2" bestFit="1" customWidth="1"/>
    <col min="40" max="41" width="26.140625" style="2" customWidth="1"/>
    <col min="42" max="42" width="1.42578125" style="2" customWidth="1"/>
    <col min="43" max="43" width="9.42578125" style="2" bestFit="1" customWidth="1"/>
    <col min="44" max="44" width="16.5703125" style="2" customWidth="1"/>
    <col min="45" max="45" width="1.42578125" style="2" customWidth="1"/>
    <col min="46" max="46" width="12.42578125" style="2" customWidth="1"/>
    <col min="47" max="47" width="16.5703125" style="2" customWidth="1"/>
    <col min="48" max="48" width="1.42578125" style="2" customWidth="1"/>
    <col min="49" max="49" width="9.42578125" style="2" bestFit="1" customWidth="1"/>
    <col min="50" max="50" width="16.5703125" style="2" customWidth="1"/>
    <col min="51" max="51" width="1.42578125" style="2" customWidth="1"/>
    <col min="52" max="52" width="9.42578125" style="2" bestFit="1" customWidth="1"/>
    <col min="53" max="53" width="16.5703125" style="2" customWidth="1"/>
    <col min="54" max="54" width="1.42578125" style="2" customWidth="1"/>
    <col min="55" max="55" width="9.42578125" style="2" bestFit="1" customWidth="1"/>
    <col min="56" max="56" width="16.5703125" style="2" customWidth="1"/>
    <col min="57" max="57" width="1.42578125" style="2" customWidth="1"/>
    <col min="58" max="16384" width="9.140625" style="2"/>
  </cols>
  <sheetData>
    <row r="1" spans="1:56" x14ac:dyDescent="0.25">
      <c r="A1" s="197" t="s">
        <v>66</v>
      </c>
      <c r="B1" s="197"/>
      <c r="D1" s="197" t="s">
        <v>858</v>
      </c>
      <c r="E1" s="197"/>
      <c r="P1" s="197" t="s">
        <v>859</v>
      </c>
      <c r="Q1" s="197"/>
      <c r="R1" s="197"/>
      <c r="T1" s="197" t="s">
        <v>860</v>
      </c>
      <c r="U1" s="197"/>
      <c r="V1" s="197"/>
      <c r="X1" s="2" t="s">
        <v>824</v>
      </c>
      <c r="Y1" s="197" t="s">
        <v>861</v>
      </c>
      <c r="Z1" s="197"/>
      <c r="AA1" s="197" t="s">
        <v>862</v>
      </c>
      <c r="AB1" s="197"/>
      <c r="AC1" s="197" t="s">
        <v>863</v>
      </c>
      <c r="AD1" s="197"/>
      <c r="AF1" s="197" t="s">
        <v>864</v>
      </c>
      <c r="AG1" s="197"/>
      <c r="AI1" s="197" t="s">
        <v>52</v>
      </c>
      <c r="AJ1" s="197"/>
      <c r="AL1" s="197" t="s">
        <v>69</v>
      </c>
      <c r="AM1" s="197"/>
      <c r="AQ1" s="197" t="s">
        <v>865</v>
      </c>
      <c r="AR1" s="197"/>
      <c r="AT1" s="197" t="s">
        <v>71</v>
      </c>
      <c r="AU1" s="197"/>
      <c r="AW1" s="197" t="s">
        <v>72</v>
      </c>
      <c r="AX1" s="197"/>
      <c r="AZ1" s="197" t="s">
        <v>73</v>
      </c>
      <c r="BA1" s="197"/>
      <c r="BC1" s="197" t="s">
        <v>866</v>
      </c>
      <c r="BD1" s="197"/>
    </row>
    <row r="2" spans="1:56" x14ac:dyDescent="0.25">
      <c r="A2" s="2" t="s">
        <v>74</v>
      </c>
      <c r="B2" s="2" t="s">
        <v>24</v>
      </c>
      <c r="D2" s="9" t="s">
        <v>74</v>
      </c>
      <c r="E2" s="10" t="s">
        <v>24</v>
      </c>
      <c r="F2" s="10" t="s">
        <v>75</v>
      </c>
      <c r="G2" s="10" t="s">
        <v>29</v>
      </c>
      <c r="H2" s="10" t="s">
        <v>7</v>
      </c>
      <c r="I2" s="10" t="s">
        <v>0</v>
      </c>
      <c r="J2" s="10" t="s">
        <v>4</v>
      </c>
      <c r="K2" s="10" t="s">
        <v>76</v>
      </c>
      <c r="L2" s="10" t="s">
        <v>77</v>
      </c>
      <c r="M2" s="10" t="s">
        <v>52</v>
      </c>
      <c r="N2" s="11" t="s">
        <v>69</v>
      </c>
      <c r="P2" s="2" t="s">
        <v>74</v>
      </c>
      <c r="Q2" s="2" t="s">
        <v>78</v>
      </c>
      <c r="R2" s="2" t="s">
        <v>24</v>
      </c>
      <c r="T2" s="2" t="s">
        <v>74</v>
      </c>
      <c r="U2" s="2" t="s">
        <v>78</v>
      </c>
      <c r="V2" s="2" t="s">
        <v>24</v>
      </c>
      <c r="X2" s="2" t="s">
        <v>79</v>
      </c>
      <c r="Y2" s="2" t="s">
        <v>806</v>
      </c>
      <c r="Z2" s="2" t="s">
        <v>803</v>
      </c>
      <c r="AA2" s="2" t="s">
        <v>807</v>
      </c>
      <c r="AB2" s="2" t="s">
        <v>804</v>
      </c>
      <c r="AC2" s="2" t="s">
        <v>808</v>
      </c>
      <c r="AD2" s="2" t="s">
        <v>805</v>
      </c>
      <c r="AF2" s="2" t="s">
        <v>74</v>
      </c>
      <c r="AG2" s="2" t="s">
        <v>24</v>
      </c>
      <c r="AI2" s="2" t="s">
        <v>74</v>
      </c>
      <c r="AJ2" s="2" t="s">
        <v>24</v>
      </c>
      <c r="AL2" s="2" t="s">
        <v>74</v>
      </c>
      <c r="AM2" s="2" t="s">
        <v>24</v>
      </c>
      <c r="AN2" s="2" t="s">
        <v>790</v>
      </c>
      <c r="AO2" s="2" t="s">
        <v>789</v>
      </c>
      <c r="AQ2" s="2" t="s">
        <v>74</v>
      </c>
      <c r="AR2" s="2" t="s">
        <v>24</v>
      </c>
      <c r="AT2" s="2" t="s">
        <v>74</v>
      </c>
      <c r="AU2" s="2" t="s">
        <v>24</v>
      </c>
      <c r="AW2" s="2" t="s">
        <v>74</v>
      </c>
      <c r="AX2" s="2" t="s">
        <v>24</v>
      </c>
      <c r="AZ2" s="2" t="s">
        <v>74</v>
      </c>
      <c r="BA2" s="2" t="s">
        <v>24</v>
      </c>
      <c r="BC2" s="2" t="s">
        <v>74</v>
      </c>
      <c r="BD2" s="2" t="s">
        <v>24</v>
      </c>
    </row>
    <row r="3" spans="1:56" ht="30" customHeight="1" x14ac:dyDescent="0.25">
      <c r="A3" s="2" t="e" vm="3">
        <f>_xlfn.IMAGE(_xlfn.CONCAT("https://raw.githubusercontent.com/ItsCryp7iC/Genshin-Image-Hosting/main/",A$1,"/",ExperienceImg[[#This Row],[Name]],".png"),ExperienceImg[[#This Row],[Name]])</f>
        <v>#VALUE!</v>
      </c>
      <c r="B3" s="2" t="s">
        <v>80</v>
      </c>
      <c r="D3" s="15" t="e" vm="4">
        <f>_xlfn.IMAGE(_xlfn.CONCAT("https://raw.githubusercontent.com/ItsCryp7iC/Genshin-Image-Hosting/main/",D$1,"/",CharacterDetailsImg[[#This Row],[Name]],".png"),CharacterDetailsImg[[#This Row],[Name]])</f>
        <v>#VALUE!</v>
      </c>
      <c r="E3" s="12" t="s">
        <v>81</v>
      </c>
      <c r="F3" s="12" t="e" vm="5">
        <f t="shared" ref="F3:F26" si="0">$AT$3</f>
        <v>#VALUE!</v>
      </c>
      <c r="G3" s="12" t="e" vm="6">
        <f>$AW$4</f>
        <v>#VALUE!</v>
      </c>
      <c r="H3" s="17">
        <v>1.2</v>
      </c>
      <c r="I3" s="12" t="e" vm="7">
        <f>$P$8</f>
        <v>#VALUE!</v>
      </c>
      <c r="J3" s="2" t="e" vm="8">
        <f>$T$9</f>
        <v>#VALUE!</v>
      </c>
      <c r="K3" s="12" t="e" vm="9">
        <f>$AF$9</f>
        <v>#VALUE!</v>
      </c>
      <c r="L3" s="12" t="e" vm="10">
        <f>$Z$5</f>
        <v>#VALUE!</v>
      </c>
      <c r="M3" s="12" t="e" vm="11">
        <f>$AI$5</f>
        <v>#VALUE!</v>
      </c>
      <c r="N3" s="16" t="e" vm="12">
        <f>IF(OR(
E3="TravelerAnemo",
E3="TravelerGeo",
E3="TravelerElectro",
E3="TravelerDendro",
E3="TravelerHydro",
E3="TravelerPyro",
E3="TravelerCryo"),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" s="2" t="e" vm="13">
        <f>_xlfn.IMAGE(_xlfn.CONCAT("https://raw.githubusercontent.com/ItsCryp7iC/Genshin-Image-Hosting/main/",P$1,"/",WorldBossImg[[#This Row],[Name]],".png"),WorldBossImg[[#This Row],[Name]])</f>
        <v>#VALUE!</v>
      </c>
      <c r="Q3" s="2" t="s">
        <v>82</v>
      </c>
      <c r="R3" s="2" t="s">
        <v>83</v>
      </c>
      <c r="T3" s="2" t="e" vm="14">
        <f>_xlfn.IMAGE(_xlfn.CONCAT("https://raw.githubusercontent.com/ItsCryp7iC/Genshin-Image-Hosting/main/",T$1,"/",WeeklyBossImg[[#This Row],[Name]],".png"),WeeklyBossImg[[#This Row],[Name]])</f>
        <v>#VALUE!</v>
      </c>
      <c r="U3" s="2" t="s">
        <v>84</v>
      </c>
      <c r="V3" s="2" t="s">
        <v>85</v>
      </c>
      <c r="X3" s="2" t="s">
        <v>194</v>
      </c>
      <c r="Y3" s="2" t="s">
        <v>213</v>
      </c>
      <c r="Z3" s="2" t="e" vm="15">
        <f>_xlfn.IMAGE(_xlfn.CONCAT("https://raw.githubusercontent.com/ItsCryp7iC/Genshin-Image-Hosting/main/",$X$1,"/",Y$1,"/",MonsterMaterialsImg[[#This Row],[3*Name]],".png"),MonsterMaterialsImg[[#This Row],[3*Name]])</f>
        <v>#VALUE!</v>
      </c>
      <c r="AA3" s="2" t="s">
        <v>204</v>
      </c>
      <c r="AB3" s="2" t="e" vm="16">
        <f>_xlfn.IMAGE(_xlfn.CONCAT("https://raw.githubusercontent.com/ItsCryp7iC/Genshin-Image-Hosting/main/",$X$1,"/",AA$1,"/",MonsterMaterialsImg[[#This Row],[2*Name]],".png"),MonsterMaterialsImg[[#This Row],[2*Name]])</f>
        <v>#VALUE!</v>
      </c>
      <c r="AC3" s="2" t="s">
        <v>195</v>
      </c>
      <c r="AD3" s="2" t="e" vm="17">
        <f>_xlfn.IMAGE(_xlfn.CONCAT("https://raw.githubusercontent.com/ItsCryp7iC/Genshin-Image-Hosting/main/",$X$1,"/",AC$1,"/",MonsterMaterialsImg[[#This Row],[1*Name]],".png"),MonsterMaterialsImg[[#This Row],[1*Name]])</f>
        <v>#VALUE!</v>
      </c>
      <c r="AF3" s="2" t="e" vm="18">
        <f>_xlfn.IMAGE(_xlfn.CONCAT("https://raw.githubusercontent.com/ItsCryp7iC/Genshin-Image-Hosting/main/",AF$1,"/",TalentBooksImg[[#This Row],[Name]],".png"),TalentBooksImg[[#This Row],[Name]])</f>
        <v>#VALUE!</v>
      </c>
      <c r="AG3" s="2" t="s">
        <v>185</v>
      </c>
      <c r="AI3" s="2" t="e" vm="19">
        <f>_xlfn.IMAGE(_xlfn.CONCAT("https://raw.githubusercontent.com/ItsCryp7iC/Genshin-Image-Hosting/main/",AI$1,"/",LocalSpecialtiesImg[[#This Row],[Name]],".png"),LocalSpecialtiesImg[[#This Row],[Name]])</f>
        <v>#VALUE!</v>
      </c>
      <c r="AJ3" s="2" t="s">
        <v>461</v>
      </c>
      <c r="AL3" s="2" t="e" vm="20">
        <f>_xlfn.IMAGE(_xlfn.CONCAT("https://raw.githubusercontent.com/ItsCryp7iC/Genshin-Image-Hosting/main/",AL$1,"/",GemsImg[[#This Row],[Name]],".png"),GemsImg[[#This Row],[Name]])</f>
        <v>#VALUE!</v>
      </c>
      <c r="AM3" s="2" t="str">
        <f>_xlfn.CONCAT(GemsImg[[#This Row],[Column2]],GemsImg[[#This Row],[Column1]])</f>
        <v>BrilliantDiamondGemstone</v>
      </c>
      <c r="AN3" s="2" t="s">
        <v>772</v>
      </c>
      <c r="AO3" s="2" t="s">
        <v>56</v>
      </c>
      <c r="AQ3" s="2" t="e" vm="21">
        <f>_xlfn.IMAGE(_xlfn.CONCAT("https://raw.githubusercontent.com/ItsCryp7iC/Genshin-Image-Hosting/main/",AQ$1,"/",MiscImg[[#This Row],[Name]],".png"),MiscImg[[#This Row],[Name]])</f>
        <v>#VALUE!</v>
      </c>
      <c r="AR3" s="2" t="s">
        <v>50</v>
      </c>
      <c r="AT3" s="2" t="e" vm="22">
        <f>_xlfn.IMAGE(_xlfn.CONCAT("https://raw.githubusercontent.com/ItsCryp7iC/Genshin-Image-Hosting/main/",AT$1,"/",BilletImg[[#This Row],[Name]],".png"),BilletImg[[#This Row],[Name]])</f>
        <v>#VALUE!</v>
      </c>
      <c r="AU3" s="2" t="s">
        <v>90</v>
      </c>
      <c r="AW3" s="2" t="e" vm="23">
        <f>_xlfn.IMAGE(_xlfn.CONCAT("https://raw.githubusercontent.com/ItsCryp7iC/Genshin-Image-Hosting/main/",AW$1,"/",ElementsImg[[#This Row],[Name]],".png"),ElementsImg[[#This Row],[Name]])</f>
        <v>#VALUE!</v>
      </c>
      <c r="AX3" s="2" t="s">
        <v>91</v>
      </c>
      <c r="AZ3" s="2" t="e" vm="24">
        <f>_xlfn.IMAGE(_xlfn.CONCAT("https://raw.githubusercontent.com/ItsCryp7iC/Genshin-Image-Hosting/main/",AZ$1,"/",WeaponsImg[[#This Row],[Name]],".png"),WeaponsImg[[#This Row],[Name]])</f>
        <v>#VALUE!</v>
      </c>
      <c r="BA3" s="2" t="s">
        <v>92</v>
      </c>
      <c r="BC3" s="2" t="e" vm="25">
        <f>_xlfn.IMAGE(_xlfn.CONCAT("https://raw.githubusercontent.com/ItsCryp7iC/Genshin-Image-Hosting/main/",BC$1,"/",WeaponMaterialsImg[[#This Row],[Name]],".png"),WeaponMaterialsImg[[#This Row],[Name]])</f>
        <v>#VALUE!</v>
      </c>
      <c r="BD3" s="2" t="s">
        <v>93</v>
      </c>
    </row>
    <row r="4" spans="1:56" ht="30" customHeight="1" x14ac:dyDescent="0.25">
      <c r="A4" s="2" t="e" vm="26">
        <f>_xlfn.IMAGE(_xlfn.CONCAT("https://raw.githubusercontent.com/ItsCryp7iC/Genshin-Image-Hosting/main/",A$1,"/",ExperienceImg[[#This Row],[Name]],".png"),ExperienceImg[[#This Row],[Name]])</f>
        <v>#VALUE!</v>
      </c>
      <c r="B4" s="2" t="s">
        <v>94</v>
      </c>
      <c r="D4" s="4" t="e" vm="27">
        <f>_xlfn.IMAGE(_xlfn.CONCAT("https://raw.githubusercontent.com/ItsCryp7iC/Genshin-Image-Hosting/main/",D$1,"/",CharacterDetailsImg[[#This Row],[Name]],".png"),CharacterDetailsImg[[#This Row],[Name]])</f>
        <v>#VALUE!</v>
      </c>
      <c r="E4" s="2" t="s">
        <v>95</v>
      </c>
      <c r="F4" s="2" t="e" vm="5">
        <f t="shared" si="0"/>
        <v>#VALUE!</v>
      </c>
      <c r="G4" s="2" t="e" vm="28">
        <f>$AW$6</f>
        <v>#VALUE!</v>
      </c>
      <c r="H4" s="13">
        <v>3.4</v>
      </c>
      <c r="I4" s="2" t="e" vm="29">
        <f>$P$24</f>
        <v>#VALUE!</v>
      </c>
      <c r="J4" s="3" t="e" vm="30">
        <f>$T$22</f>
        <v>#VALUE!</v>
      </c>
      <c r="K4" s="2" t="e" vm="31">
        <f>$AF$33</f>
        <v>#VALUE!</v>
      </c>
      <c r="L4" s="2" t="e" vm="32">
        <f>$Z$13</f>
        <v>#VALUE!</v>
      </c>
      <c r="M4" s="2" t="e" vm="33">
        <f>$AI$34</f>
        <v>#VALUE!</v>
      </c>
      <c r="N4" s="5" t="e" vm="34">
        <f>IF(OR(
E4="TravelerAnemo",
E4="TravelerGeo",
E4="TravelerElectro",
E4="TravelerDendro",
E4="TravelerHydro",
E4="TravelerPyro",
E4="TravelerCryo"),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4" s="2" t="e" vm="35">
        <f>_xlfn.IMAGE(_xlfn.CONCAT("https://raw.githubusercontent.com/ItsCryp7iC/Genshin-Image-Hosting/main/",P$1,"/",WorldBossImg[[#This Row],[Name]],".png"),WorldBossImg[[#This Row],[Name]])</f>
        <v>#VALUE!</v>
      </c>
      <c r="Q4" s="2" t="s">
        <v>109</v>
      </c>
      <c r="R4" s="2" t="s">
        <v>110</v>
      </c>
      <c r="T4" s="2" t="e" vm="36">
        <f>_xlfn.IMAGE(_xlfn.CONCAT("https://raw.githubusercontent.com/ItsCryp7iC/Genshin-Image-Hosting/main/",T$1,"/",WeeklyBossImg[[#This Row],[Name]],".png"),WeeklyBossImg[[#This Row],[Name]])</f>
        <v>#VALUE!</v>
      </c>
      <c r="U4" s="2" t="s">
        <v>84</v>
      </c>
      <c r="V4" s="2" t="s">
        <v>98</v>
      </c>
      <c r="X4" s="2" t="s">
        <v>86</v>
      </c>
      <c r="Y4" s="2" t="s">
        <v>112</v>
      </c>
      <c r="Z4" s="2" t="e" vm="37">
        <f>_xlfn.IMAGE(_xlfn.CONCAT("https://raw.githubusercontent.com/ItsCryp7iC/Genshin-Image-Hosting/main/",$X$1,"/",Y$1,"/",MonsterMaterialsImg[[#This Row],[3*Name]],".png"),MonsterMaterialsImg[[#This Row],[3*Name]])</f>
        <v>#VALUE!</v>
      </c>
      <c r="AA4" s="2" t="s">
        <v>99</v>
      </c>
      <c r="AB4" s="2" t="e" vm="38">
        <f>_xlfn.IMAGE(_xlfn.CONCAT("https://raw.githubusercontent.com/ItsCryp7iC/Genshin-Image-Hosting/main/",$X$1,"/",AA$1,"/",MonsterMaterialsImg[[#This Row],[2*Name]],".png"),MonsterMaterialsImg[[#This Row],[2*Name]])</f>
        <v>#VALUE!</v>
      </c>
      <c r="AC4" s="2" t="s">
        <v>87</v>
      </c>
      <c r="AD4" s="2" t="e" vm="39">
        <f>_xlfn.IMAGE(_xlfn.CONCAT("https://raw.githubusercontent.com/ItsCryp7iC/Genshin-Image-Hosting/main/",$X$1,"/",AC$1,"/",MonsterMaterialsImg[[#This Row],[1*Name]],".png"),MonsterMaterialsImg[[#This Row],[1*Name]])</f>
        <v>#VALUE!</v>
      </c>
      <c r="AF4" s="2" t="e" vm="40">
        <f>_xlfn.IMAGE(_xlfn.CONCAT("https://raw.githubusercontent.com/ItsCryp7iC/Genshin-Image-Hosting/main/",AF$1,"/",TalentBooksImg[[#This Row],[Name]],".png"),TalentBooksImg[[#This Row],[Name]])</f>
        <v>#VALUE!</v>
      </c>
      <c r="AG4" s="2" t="s">
        <v>176</v>
      </c>
      <c r="AI4" s="2" t="e" vm="41">
        <f>_xlfn.IMAGE(_xlfn.CONCAT("https://raw.githubusercontent.com/ItsCryp7iC/Genshin-Image-Hosting/main/",AI$1,"/",LocalSpecialtiesImg[[#This Row],[Name]],".png"),LocalSpecialtiesImg[[#This Row],[Name]])</f>
        <v>#VALUE!</v>
      </c>
      <c r="AJ4" s="2" t="s">
        <v>446</v>
      </c>
      <c r="AL4" s="2" t="e" vm="42">
        <f>_xlfn.IMAGE(_xlfn.CONCAT("https://raw.githubusercontent.com/ItsCryp7iC/Genshin-Image-Hosting/main/",AL$1,"/",GemsImg[[#This Row],[Name]],".png"),GemsImg[[#This Row],[Name]])</f>
        <v>#VALUE!</v>
      </c>
      <c r="AM4" s="2" t="str">
        <f>_xlfn.CONCAT(GemsImg[[#This Row],[Column2]],GemsImg[[#This Row],[Column1]])</f>
        <v>BrilliantDiamondChunk</v>
      </c>
      <c r="AN4" s="2" t="s">
        <v>772</v>
      </c>
      <c r="AO4" s="2" t="s">
        <v>55</v>
      </c>
      <c r="AQ4" s="2" t="e" vm="43">
        <f>_xlfn.IMAGE(_xlfn.CONCAT("https://raw.githubusercontent.com/ItsCryp7iC/Genshin-Image-Hosting/main/",AQ$1,"/",MiscImg[[#This Row],[Name]],".png"),MiscImg[[#This Row],[Name]])</f>
        <v>#VALUE!</v>
      </c>
      <c r="AR4" s="2" t="s">
        <v>102</v>
      </c>
      <c r="AT4" s="2" t="e" vm="44">
        <f>_xlfn.IMAGE(_xlfn.CONCAT("https://raw.githubusercontent.com/ItsCryp7iC/Genshin-Image-Hosting/main/",AT$1,"/",BilletImg[[#This Row],[Name]],".png"),BilletImg[[#This Row],[Name]])</f>
        <v>#VALUE!</v>
      </c>
      <c r="AU4" s="2" t="s">
        <v>103</v>
      </c>
      <c r="AW4" s="2" t="e" vm="45">
        <f>_xlfn.IMAGE(_xlfn.CONCAT("https://raw.githubusercontent.com/ItsCryp7iC/Genshin-Image-Hosting/main/",AW$1,"/",ElementsImg[[#This Row],[Name]],".png"),ElementsImg[[#This Row],[Name]])</f>
        <v>#VALUE!</v>
      </c>
      <c r="AX4" s="2" t="s">
        <v>104</v>
      </c>
      <c r="AZ4" s="2" t="e" vm="46">
        <f>_xlfn.IMAGE(_xlfn.CONCAT("https://raw.githubusercontent.com/ItsCryp7iC/Genshin-Image-Hosting/main/",AZ$1,"/",WeaponsImg[[#This Row],[Name]],".png"),WeaponsImg[[#This Row],[Name]])</f>
        <v>#VALUE!</v>
      </c>
      <c r="BA4" s="2" t="s">
        <v>105</v>
      </c>
      <c r="BC4" s="2" t="e" vm="47">
        <f>_xlfn.IMAGE(_xlfn.CONCAT("https://raw.githubusercontent.com/ItsCryp7iC/Genshin-Image-Hosting/main/",BC$1,"/",WeaponMaterialsImg[[#This Row],[Name]],".png"),WeaponMaterialsImg[[#This Row],[Name]])</f>
        <v>#VALUE!</v>
      </c>
      <c r="BD4" s="2" t="s">
        <v>106</v>
      </c>
    </row>
    <row r="5" spans="1:56" ht="30" customHeight="1" x14ac:dyDescent="0.25">
      <c r="A5" s="2" t="e" vm="48">
        <f>_xlfn.IMAGE(_xlfn.CONCAT("https://raw.githubusercontent.com/ItsCryp7iC/Genshin-Image-Hosting/main/",A$1,"/",ExperienceImg[[#This Row],[Name]],".png"),ExperienceImg[[#This Row],[Name]])</f>
        <v>#VALUE!</v>
      </c>
      <c r="B5" s="2" t="s">
        <v>107</v>
      </c>
      <c r="D5" s="4" t="e" vm="49">
        <f>_xlfn.IMAGE(_xlfn.CONCAT("https://raw.githubusercontent.com/ItsCryp7iC/Genshin-Image-Hosting/main/",D$1,"/",CharacterDetailsImg[[#This Row],[Name]],".png"),CharacterDetailsImg[[#This Row],[Name]])</f>
        <v>#VALUE!</v>
      </c>
      <c r="E5" s="2" t="s">
        <v>108</v>
      </c>
      <c r="F5" s="2" t="e" vm="5">
        <f t="shared" si="0"/>
        <v>#VALUE!</v>
      </c>
      <c r="G5" s="2" t="e" vm="50">
        <f>$AW$8</f>
        <v>#VALUE!</v>
      </c>
      <c r="H5" s="13">
        <v>1</v>
      </c>
      <c r="I5" s="2" t="e" vm="51">
        <f>$P$6</f>
        <v>#VALUE!</v>
      </c>
      <c r="J5" s="2" t="e" vm="52">
        <f>$T$3</f>
        <v>#VALUE!</v>
      </c>
      <c r="K5" s="2" t="e" vm="53">
        <f>$AF$6</f>
        <v>#VALUE!</v>
      </c>
      <c r="L5" s="2" t="e" vm="54">
        <f>$Z$8</f>
        <v>#VALUE!</v>
      </c>
      <c r="M5" s="2" t="e" vm="55">
        <f>$AI$6</f>
        <v>#VALUE!</v>
      </c>
      <c r="N5" s="5" t="e" vm="56">
        <f>IF(OR(
E5="TravelerAnemo",
E5="TravelerGeo",
E5="TravelerElectro",
E5="TravelerDendro",
E5="TravelerHydro",
E5="TravelerPyro",
E5="TravelerCryo"),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5" s="2" t="e" vm="57">
        <f>_xlfn.IMAGE(_xlfn.CONCAT("https://raw.githubusercontent.com/ItsCryp7iC/Genshin-Image-Hosting/main/",P$1,"/",WorldBossImg[[#This Row],[Name]],".png"),WorldBossImg[[#This Row],[Name]])</f>
        <v>#VALUE!</v>
      </c>
      <c r="Q5" s="2" t="s">
        <v>96</v>
      </c>
      <c r="R5" s="2" t="s">
        <v>97</v>
      </c>
      <c r="T5" s="2" t="e" vm="58">
        <f>_xlfn.IMAGE(_xlfn.CONCAT("https://raw.githubusercontent.com/ItsCryp7iC/Genshin-Image-Hosting/main/",T$1,"/",WeeklyBossImg[[#This Row],[Name]],".png"),WeeklyBossImg[[#This Row],[Name]])</f>
        <v>#VALUE!</v>
      </c>
      <c r="U5" s="2" t="s">
        <v>84</v>
      </c>
      <c r="V5" s="2" t="s">
        <v>111</v>
      </c>
      <c r="X5" s="2" t="s">
        <v>163</v>
      </c>
      <c r="Y5" s="2" t="s">
        <v>184</v>
      </c>
      <c r="Z5" s="2" t="e" vm="59">
        <f>_xlfn.IMAGE(_xlfn.CONCAT("https://raw.githubusercontent.com/ItsCryp7iC/Genshin-Image-Hosting/main/",$X$1,"/",Y$1,"/",MonsterMaterialsImg[[#This Row],[3*Name]],".png"),MonsterMaterialsImg[[#This Row],[3*Name]])</f>
        <v>#VALUE!</v>
      </c>
      <c r="AA5" s="2" t="s">
        <v>175</v>
      </c>
      <c r="AB5" s="2" t="e" vm="60">
        <f>_xlfn.IMAGE(_xlfn.CONCAT("https://raw.githubusercontent.com/ItsCryp7iC/Genshin-Image-Hosting/main/",$X$1,"/",AA$1,"/",MonsterMaterialsImg[[#This Row],[2*Name]],".png"),MonsterMaterialsImg[[#This Row],[2*Name]])</f>
        <v>#VALUE!</v>
      </c>
      <c r="AC5" s="2" t="s">
        <v>164</v>
      </c>
      <c r="AD5" s="2" t="e" vm="61">
        <f>_xlfn.IMAGE(_xlfn.CONCAT("https://raw.githubusercontent.com/ItsCryp7iC/Genshin-Image-Hosting/main/",$X$1,"/",AC$1,"/",MonsterMaterialsImg[[#This Row],[1*Name]],".png"),MonsterMaterialsImg[[#This Row],[1*Name]])</f>
        <v>#VALUE!</v>
      </c>
      <c r="AF5" s="2" t="e" vm="62">
        <f>_xlfn.IMAGE(_xlfn.CONCAT("https://raw.githubusercontent.com/ItsCryp7iC/Genshin-Image-Hosting/main/",AF$1,"/",TalentBooksImg[[#This Row],[Name]],".png"),TalentBooksImg[[#This Row],[Name]])</f>
        <v>#VALUE!</v>
      </c>
      <c r="AG5" s="2" t="s">
        <v>165</v>
      </c>
      <c r="AI5" s="2" t="e" vm="63">
        <f>_xlfn.IMAGE(_xlfn.CONCAT("https://raw.githubusercontent.com/ItsCryp7iC/Genshin-Image-Hosting/main/",AI$1,"/",LocalSpecialtiesImg[[#This Row],[Name]],".png"),LocalSpecialtiesImg[[#This Row],[Name]])</f>
        <v>#VALUE!</v>
      </c>
      <c r="AJ5" s="2" t="s">
        <v>129</v>
      </c>
      <c r="AL5" s="2" t="e" vm="64">
        <f>_xlfn.IMAGE(_xlfn.CONCAT("https://raw.githubusercontent.com/ItsCryp7iC/Genshin-Image-Hosting/main/",AL$1,"/",GemsImg[[#This Row],[Name]],".png"),GemsImg[[#This Row],[Name]])</f>
        <v>#VALUE!</v>
      </c>
      <c r="AM5" s="2" t="str">
        <f>_xlfn.CONCAT(GemsImg[[#This Row],[Column2]],GemsImg[[#This Row],[Column1]])</f>
        <v>BrilliantDiamondFragment</v>
      </c>
      <c r="AN5" s="2" t="s">
        <v>772</v>
      </c>
      <c r="AO5" s="2" t="s">
        <v>54</v>
      </c>
      <c r="AQ5" s="2" t="e" vm="65">
        <f>_xlfn.IMAGE(_xlfn.CONCAT("https://raw.githubusercontent.com/ItsCryp7iC/Genshin-Image-Hosting/main/",AQ$1,"/",MiscImg[[#This Row],[Name]],".png"),MiscImg[[#This Row],[Name]])</f>
        <v>#VALUE!</v>
      </c>
      <c r="AR5" s="2" t="s">
        <v>840</v>
      </c>
      <c r="AT5" s="2" t="e" vm="66">
        <f>_xlfn.IMAGE(_xlfn.CONCAT("https://raw.githubusercontent.com/ItsCryp7iC/Genshin-Image-Hosting/main/",AT$1,"/",BilletImg[[#This Row],[Name]],".png"),BilletImg[[#This Row],[Name]])</f>
        <v>#VALUE!</v>
      </c>
      <c r="AU5" s="2" t="s">
        <v>116</v>
      </c>
      <c r="AW5" s="2" t="e" vm="67">
        <f>_xlfn.IMAGE(_xlfn.CONCAT("https://raw.githubusercontent.com/ItsCryp7iC/Genshin-Image-Hosting/main/",AW$1,"/",ElementsImg[[#This Row],[Name]],".png"),ElementsImg[[#This Row],[Name]])</f>
        <v>#VALUE!</v>
      </c>
      <c r="AX5" s="2" t="s">
        <v>117</v>
      </c>
      <c r="AZ5" s="2" t="e" vm="68">
        <f>_xlfn.IMAGE(_xlfn.CONCAT("https://raw.githubusercontent.com/ItsCryp7iC/Genshin-Image-Hosting/main/",AZ$1,"/",WeaponsImg[[#This Row],[Name]],".png"),WeaponsImg[[#This Row],[Name]])</f>
        <v>#VALUE!</v>
      </c>
      <c r="BA5" s="2" t="s">
        <v>118</v>
      </c>
      <c r="BC5" s="2" t="e" vm="69">
        <f>_xlfn.IMAGE(_xlfn.CONCAT("https://raw.githubusercontent.com/ItsCryp7iC/Genshin-Image-Hosting/main/",BC$1,"/",WeaponMaterialsImg[[#This Row],[Name]],".png"),WeaponMaterialsImg[[#This Row],[Name]])</f>
        <v>#VALUE!</v>
      </c>
      <c r="BD5" s="2" t="s">
        <v>119</v>
      </c>
    </row>
    <row r="6" spans="1:56" ht="30" customHeight="1" x14ac:dyDescent="0.25">
      <c r="A6" s="2" t="e" vm="70">
        <f>_xlfn.IMAGE(_xlfn.CONCAT("https://raw.githubusercontent.com/ItsCryp7iC/Genshin-Image-Hosting/main/",A$1,"/",ExperienceImg[[#This Row],[Name]],".png"),ExperienceImg[[#This Row],[Name]])</f>
        <v>#VALUE!</v>
      </c>
      <c r="B6" s="2" t="s">
        <v>120</v>
      </c>
      <c r="D6" s="4" t="e" vm="71">
        <f>_xlfn.IMAGE(_xlfn.CONCAT("https://raw.githubusercontent.com/ItsCryp7iC/Genshin-Image-Hosting/main/",D$1,"/",CharacterDetailsImg[[#This Row],[Name]],".png"),CharacterDetailsImg[[#This Row],[Name]])</f>
        <v>#VALUE!</v>
      </c>
      <c r="E6" s="2" t="s">
        <v>121</v>
      </c>
      <c r="F6" s="2" t="e" vm="5">
        <f t="shared" si="0"/>
        <v>#VALUE!</v>
      </c>
      <c r="G6" s="2" t="e" vm="6">
        <f>$AW$4</f>
        <v>#VALUE!</v>
      </c>
      <c r="H6" s="13">
        <v>4.5</v>
      </c>
      <c r="I6" s="2" t="e" vm="72">
        <f>$P$26</f>
        <v>#VALUE!</v>
      </c>
      <c r="J6" s="2" t="e" vm="73">
        <f>$T$27</f>
        <v>#VALUE!</v>
      </c>
      <c r="K6" s="2" t="e" vm="74">
        <f>$AF$27</f>
        <v>#VALUE!</v>
      </c>
      <c r="L6" s="2" t="e" vm="75">
        <f>$Z$11</f>
        <v>#VALUE!</v>
      </c>
      <c r="M6" s="2" t="e" vm="76">
        <f>$AI$33</f>
        <v>#VALUE!</v>
      </c>
      <c r="N6" s="5" t="e" vm="12">
        <f>IF(OR(
E6="TravelerAnemo",
E6="TravelerGeo",
E6="TravelerElectro",
E6="TravelerDendro",
E6="TravelerHydro",
E6="TravelerPyro",
E6="TravelerCryo"),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6" s="2" t="e" vm="77">
        <f>_xlfn.IMAGE(_xlfn.CONCAT("https://raw.githubusercontent.com/ItsCryp7iC/Genshin-Image-Hosting/main/",P$1,"/",WorldBossImg[[#This Row],[Name]],".png"),WorldBossImg[[#This Row],[Name]])</f>
        <v>#VALUE!</v>
      </c>
      <c r="Q6" s="2" t="s">
        <v>148</v>
      </c>
      <c r="R6" s="2" t="s">
        <v>149</v>
      </c>
      <c r="T6" s="2" t="e" vm="78">
        <f>_xlfn.IMAGE(_xlfn.CONCAT("https://raw.githubusercontent.com/ItsCryp7iC/Genshin-Image-Hosting/main/",T$1,"/",WeeklyBossImg[[#This Row],[Name]],".png"),WeeklyBossImg[[#This Row],[Name]])</f>
        <v>#VALUE!</v>
      </c>
      <c r="U6" s="2" t="s">
        <v>124</v>
      </c>
      <c r="V6" s="2" t="s">
        <v>125</v>
      </c>
      <c r="X6" s="2" t="s">
        <v>126</v>
      </c>
      <c r="Y6" s="2" t="s">
        <v>151</v>
      </c>
      <c r="Z6" s="2" t="e" vm="79">
        <f>_xlfn.IMAGE(_xlfn.CONCAT("https://raw.githubusercontent.com/ItsCryp7iC/Genshin-Image-Hosting/main/",$X$1,"/",Y$1,"/",MonsterMaterialsImg[[#This Row],[3*Name]],".png"),MonsterMaterialsImg[[#This Row],[3*Name]])</f>
        <v>#VALUE!</v>
      </c>
      <c r="AA6" s="2" t="s">
        <v>139</v>
      </c>
      <c r="AB6" s="2" t="e" vm="80">
        <f>_xlfn.IMAGE(_xlfn.CONCAT("https://raw.githubusercontent.com/ItsCryp7iC/Genshin-Image-Hosting/main/",$X$1,"/",AA$1,"/",MonsterMaterialsImg[[#This Row],[2*Name]],".png"),MonsterMaterialsImg[[#This Row],[2*Name]])</f>
        <v>#VALUE!</v>
      </c>
      <c r="AC6" s="2" t="s">
        <v>127</v>
      </c>
      <c r="AD6" s="2" t="e" vm="81">
        <f>_xlfn.IMAGE(_xlfn.CONCAT("https://raw.githubusercontent.com/ItsCryp7iC/Genshin-Image-Hosting/main/",$X$1,"/",AC$1,"/",MonsterMaterialsImg[[#This Row],[1*Name]],".png"),MonsterMaterialsImg[[#This Row],[1*Name]])</f>
        <v>#VALUE!</v>
      </c>
      <c r="AF6" s="2" t="e" vm="82">
        <f>_xlfn.IMAGE(_xlfn.CONCAT("https://raw.githubusercontent.com/ItsCryp7iC/Genshin-Image-Hosting/main/",AF$1,"/",TalentBooksImg[[#This Row],[Name]],".png"),TalentBooksImg[[#This Row],[Name]])</f>
        <v>#VALUE!</v>
      </c>
      <c r="AG6" s="2" t="s">
        <v>152</v>
      </c>
      <c r="AI6" s="2" t="e" vm="83">
        <f>_xlfn.IMAGE(_xlfn.CONCAT("https://raw.githubusercontent.com/ItsCryp7iC/Genshin-Image-Hosting/main/",AI$1,"/",LocalSpecialtiesImg[[#This Row],[Name]],".png"),LocalSpecialtiesImg[[#This Row],[Name]])</f>
        <v>#VALUE!</v>
      </c>
      <c r="AJ6" s="2" t="s">
        <v>456</v>
      </c>
      <c r="AL6" s="2" t="e" vm="84">
        <f>_xlfn.IMAGE(_xlfn.CONCAT("https://raw.githubusercontent.com/ItsCryp7iC/Genshin-Image-Hosting/main/",AL$1,"/",GemsImg[[#This Row],[Name]],".png"),GemsImg[[#This Row],[Name]])</f>
        <v>#VALUE!</v>
      </c>
      <c r="AM6" s="2" t="str">
        <f>_xlfn.CONCAT(GemsImg[[#This Row],[Column2]],GemsImg[[#This Row],[Column1]])</f>
        <v>BrilliantDiamondSilver</v>
      </c>
      <c r="AN6" s="2" t="s">
        <v>772</v>
      </c>
      <c r="AO6" s="2" t="s">
        <v>53</v>
      </c>
      <c r="AQ6" s="2" t="e" vm="85">
        <f>_xlfn.IMAGE(_xlfn.CONCAT("https://raw.githubusercontent.com/ItsCryp7iC/Genshin-Image-Hosting/main/",AQ$1,"/",MiscImg[[#This Row],[Name]],".png"),MiscImg[[#This Row],[Name]])</f>
        <v>#VALUE!</v>
      </c>
      <c r="AR6" s="2" t="s">
        <v>115</v>
      </c>
      <c r="AT6" s="2" t="e" vm="86">
        <f>_xlfn.IMAGE(_xlfn.CONCAT("https://raw.githubusercontent.com/ItsCryp7iC/Genshin-Image-Hosting/main/",AT$1,"/",BilletImg[[#This Row],[Name]],".png"),BilletImg[[#This Row],[Name]])</f>
        <v>#VALUE!</v>
      </c>
      <c r="AU6" s="2" t="s">
        <v>131</v>
      </c>
      <c r="AW6" s="2" t="e" vm="87">
        <f>_xlfn.IMAGE(_xlfn.CONCAT("https://raw.githubusercontent.com/ItsCryp7iC/Genshin-Image-Hosting/main/",AW$1,"/",ElementsImg[[#This Row],[Name]],".png"),ElementsImg[[#This Row],[Name]])</f>
        <v>#VALUE!</v>
      </c>
      <c r="AX6" s="2" t="s">
        <v>132</v>
      </c>
      <c r="AZ6" s="2" t="e" vm="88">
        <f>_xlfn.IMAGE(_xlfn.CONCAT("https://raw.githubusercontent.com/ItsCryp7iC/Genshin-Image-Hosting/main/",AZ$1,"/",WeaponsImg[[#This Row],[Name]],".png"),WeaponsImg[[#This Row],[Name]])</f>
        <v>#VALUE!</v>
      </c>
      <c r="BA6" s="2" t="s">
        <v>133</v>
      </c>
      <c r="BC6" s="2" t="e" vm="89">
        <f>_xlfn.IMAGE(_xlfn.CONCAT("https://raw.githubusercontent.com/ItsCryp7iC/Genshin-Image-Hosting/main/",BC$1,"/",WeaponMaterialsImg[[#This Row],[Name]],".png"),WeaponMaterialsImg[[#This Row],[Name]])</f>
        <v>#VALUE!</v>
      </c>
      <c r="BD6" s="2" t="s">
        <v>134</v>
      </c>
    </row>
    <row r="7" spans="1:56" ht="30" customHeight="1" x14ac:dyDescent="0.25">
      <c r="D7" s="4" t="e" vm="90">
        <f>_xlfn.IMAGE(_xlfn.CONCAT("https://raw.githubusercontent.com/ItsCryp7iC/Genshin-Image-Hosting/main/",D$1,"/",CharacterDetailsImg[[#This Row],[Name]],".png"),CharacterDetailsImg[[#This Row],[Name]])</f>
        <v>#VALUE!</v>
      </c>
      <c r="E7" s="2" t="s">
        <v>135</v>
      </c>
      <c r="F7" s="2" t="e" vm="5">
        <f t="shared" si="0"/>
        <v>#VALUE!</v>
      </c>
      <c r="G7" s="2" t="e" vm="91">
        <f>$AW$5</f>
        <v>#VALUE!</v>
      </c>
      <c r="H7" s="13">
        <v>4.8</v>
      </c>
      <c r="I7" s="2" t="e" vm="92">
        <f>$P$30</f>
        <v>#VALUE!</v>
      </c>
      <c r="J7" s="2" t="e" vm="93">
        <f>$T$26</f>
        <v>#VALUE!</v>
      </c>
      <c r="K7" s="2" t="e" vm="94">
        <f>$AF$42</f>
        <v>#VALUE!</v>
      </c>
      <c r="L7" s="2" t="e" vm="95">
        <f>$Z$14</f>
        <v>#VALUE!</v>
      </c>
      <c r="M7" s="2" t="e" vm="96">
        <f>$AI$42</f>
        <v>#VALUE!</v>
      </c>
      <c r="N7" s="5" t="e" vm="97">
        <f>IF(OR(
E7="TravelerAnemo",
E7="TravelerGeo",
E7="TravelerElectro",
E7="TravelerDendro",
E7="TravelerHydro",
E7="TravelerPyro",
E7="TravelerCryo"),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7" s="2" t="e" vm="98">
        <f>_xlfn.IMAGE(_xlfn.CONCAT("https://raw.githubusercontent.com/ItsCryp7iC/Genshin-Image-Hosting/main/",P$1,"/",WorldBossImg[[#This Row],[Name]],".png"),WorldBossImg[[#This Row],[Name]])</f>
        <v>#VALUE!</v>
      </c>
      <c r="Q7" s="2" t="s">
        <v>136</v>
      </c>
      <c r="R7" s="2" t="s">
        <v>137</v>
      </c>
      <c r="T7" s="2" t="e" vm="99">
        <f>_xlfn.IMAGE(_xlfn.CONCAT("https://raw.githubusercontent.com/ItsCryp7iC/Genshin-Image-Hosting/main/",T$1,"/",WeeklyBossImg[[#This Row],[Name]],".png"),WeeklyBossImg[[#This Row],[Name]])</f>
        <v>#VALUE!</v>
      </c>
      <c r="U7" s="2" t="s">
        <v>124</v>
      </c>
      <c r="V7" s="2" t="s">
        <v>150</v>
      </c>
      <c r="X7" s="2" t="s">
        <v>252</v>
      </c>
      <c r="Y7" s="2" t="s">
        <v>271</v>
      </c>
      <c r="Z7" s="2" t="e" vm="100">
        <f>_xlfn.IMAGE(_xlfn.CONCAT("https://raw.githubusercontent.com/ItsCryp7iC/Genshin-Image-Hosting/main/",$X$1,"/",Y$1,"/",MonsterMaterialsImg[[#This Row],[3*Name]],".png"),MonsterMaterialsImg[[#This Row],[3*Name]])</f>
        <v>#VALUE!</v>
      </c>
      <c r="AA7" s="2" t="s">
        <v>262</v>
      </c>
      <c r="AB7" s="2" t="e" vm="101">
        <f>_xlfn.IMAGE(_xlfn.CONCAT("https://raw.githubusercontent.com/ItsCryp7iC/Genshin-Image-Hosting/main/",$X$1,"/",AA$1,"/",MonsterMaterialsImg[[#This Row],[2*Name]],".png"),MonsterMaterialsImg[[#This Row],[2*Name]])</f>
        <v>#VALUE!</v>
      </c>
      <c r="AC7" s="2" t="s">
        <v>253</v>
      </c>
      <c r="AD7" s="2" t="e" vm="102">
        <f>_xlfn.IMAGE(_xlfn.CONCAT("https://raw.githubusercontent.com/ItsCryp7iC/Genshin-Image-Hosting/main/",$X$1,"/",AC$1,"/",MonsterMaterialsImg[[#This Row],[1*Name]],".png"),MonsterMaterialsImg[[#This Row],[1*Name]])</f>
        <v>#VALUE!</v>
      </c>
      <c r="AF7" s="2" t="e" vm="103">
        <f>_xlfn.IMAGE(_xlfn.CONCAT("https://raw.githubusercontent.com/ItsCryp7iC/Genshin-Image-Hosting/main/",AF$1,"/",TalentBooksImg[[#This Row],[Name]],".png"),TalentBooksImg[[#This Row],[Name]])</f>
        <v>#VALUE!</v>
      </c>
      <c r="AG7" s="2" t="s">
        <v>140</v>
      </c>
      <c r="AI7" s="2" t="e" vm="104">
        <f>_xlfn.IMAGE(_xlfn.CONCAT("https://raw.githubusercontent.com/ItsCryp7iC/Genshin-Image-Hosting/main/",AI$1,"/",LocalSpecialtiesImg[[#This Row],[Name]],".png"),LocalSpecialtiesImg[[#This Row],[Name]])</f>
        <v>#VALUE!</v>
      </c>
      <c r="AJ7" s="2" t="s">
        <v>329</v>
      </c>
      <c r="AL7" s="2" t="e" vm="105">
        <f>_xlfn.IMAGE(_xlfn.CONCAT("https://raw.githubusercontent.com/ItsCryp7iC/Genshin-Image-Hosting/main/",AL$1,"/",GemsImg[[#This Row],[Name]],".png"),GemsImg[[#This Row],[Name]])</f>
        <v>#VALUE!</v>
      </c>
      <c r="AM7" s="2" t="str">
        <f>_xlfn.CONCAT(GemsImg[[#This Row],[Column2]],GemsImg[[#This Row],[Column1]])</f>
        <v>AgnidusAgateGemstone</v>
      </c>
      <c r="AN7" s="2" t="s">
        <v>773</v>
      </c>
      <c r="AO7" s="2" t="s">
        <v>56</v>
      </c>
      <c r="AQ7" s="2" t="e" vm="106">
        <f>_xlfn.IMAGE(_xlfn.CONCAT("https://raw.githubusercontent.com/ItsCryp7iC/Genshin-Image-Hosting/main/",AQ$1,"/",MiscImg[[#This Row],[Name]],".png"),MiscImg[[#This Row],[Name]])</f>
        <v>#VALUE!</v>
      </c>
      <c r="AR7" s="2" t="s">
        <v>130</v>
      </c>
      <c r="AT7" s="2" t="e" vm="107">
        <f>_xlfn.IMAGE(_xlfn.CONCAT("https://raw.githubusercontent.com/ItsCryp7iC/Genshin-Image-Hosting/main/",AT$1,"/",BilletImg[[#This Row],[Name]],".png"),BilletImg[[#This Row],[Name]])</f>
        <v>#VALUE!</v>
      </c>
      <c r="AU7" s="2" t="s">
        <v>143</v>
      </c>
      <c r="AW7" s="2" t="e" vm="108">
        <f>_xlfn.IMAGE(_xlfn.CONCAT("https://raw.githubusercontent.com/ItsCryp7iC/Genshin-Image-Hosting/main/",AW$1,"/",ElementsImg[[#This Row],[Name]],".png"),ElementsImg[[#This Row],[Name]])</f>
        <v>#VALUE!</v>
      </c>
      <c r="AX7" s="2" t="s">
        <v>144</v>
      </c>
      <c r="AZ7" s="2" t="e" vm="109">
        <f>_xlfn.IMAGE(_xlfn.CONCAT("https://raw.githubusercontent.com/ItsCryp7iC/Genshin-Image-Hosting/main/",AZ$1,"/",WeaponsImg[[#This Row],[Name]],".png"),WeaponsImg[[#This Row],[Name]])</f>
        <v>#VALUE!</v>
      </c>
      <c r="BA7" s="2" t="s">
        <v>145</v>
      </c>
      <c r="BC7" s="2" t="e" vm="110">
        <f>_xlfn.IMAGE(_xlfn.CONCAT("https://raw.githubusercontent.com/ItsCryp7iC/Genshin-Image-Hosting/main/",BC$1,"/",WeaponMaterialsImg[[#This Row],[Name]],".png"),WeaponMaterialsImg[[#This Row],[Name]])</f>
        <v>#VALUE!</v>
      </c>
      <c r="BD7" s="2" t="s">
        <v>146</v>
      </c>
    </row>
    <row r="8" spans="1:56" ht="30" customHeight="1" x14ac:dyDescent="0.25">
      <c r="D8" s="4" t="e" vm="111">
        <f>_xlfn.IMAGE(_xlfn.CONCAT("https://raw.githubusercontent.com/ItsCryp7iC/Genshin-Image-Hosting/main/",D$1,"/",CharacterDetailsImg[[#This Row],[Name]],".png"),CharacterDetailsImg[[#This Row],[Name]])</f>
        <v>#VALUE!</v>
      </c>
      <c r="E8" s="2" t="s">
        <v>147</v>
      </c>
      <c r="F8" s="2" t="e" vm="5">
        <f t="shared" si="0"/>
        <v>#VALUE!</v>
      </c>
      <c r="G8" s="2" t="e" vm="112">
        <f>$AW$7</f>
        <v>#VALUE!</v>
      </c>
      <c r="H8" s="13">
        <v>4.2</v>
      </c>
      <c r="I8" s="2" t="e" vm="113">
        <f>$P$31</f>
        <v>#VALUE!</v>
      </c>
      <c r="J8" s="2" t="e" vm="114">
        <f>$T$29</f>
        <v>#VALUE!</v>
      </c>
      <c r="K8" s="2" t="e" vm="94">
        <f>$AF$42</f>
        <v>#VALUE!</v>
      </c>
      <c r="L8" s="2" t="e" vm="115">
        <f>$Z$9</f>
        <v>#VALUE!</v>
      </c>
      <c r="M8" s="2" t="e" vm="116">
        <f>$AI$43</f>
        <v>#VALUE!</v>
      </c>
      <c r="N8" s="5" t="e" vm="117">
        <f>IF(OR(
E8="TravelerAnemo",
E8="TravelerGeo",
E8="TravelerElectro",
E8="TravelerDendro",
E8="TravelerHydro",
E8="TravelerPyro",
E8="TravelerCryo"),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8" s="2" t="e" vm="118">
        <f>_xlfn.IMAGE(_xlfn.CONCAT("https://raw.githubusercontent.com/ItsCryp7iC/Genshin-Image-Hosting/main/",P$1,"/",WorldBossImg[[#This Row],[Name]],".png"),WorldBossImg[[#This Row],[Name]])</f>
        <v>#VALUE!</v>
      </c>
      <c r="Q8" s="2" t="s">
        <v>122</v>
      </c>
      <c r="R8" s="2" t="s">
        <v>123</v>
      </c>
      <c r="T8" s="2" t="e" vm="119">
        <f>_xlfn.IMAGE(_xlfn.CONCAT("https://raw.githubusercontent.com/ItsCryp7iC/Genshin-Image-Hosting/main/",T$1,"/",WeeklyBossImg[[#This Row],[Name]],".png"),WeeklyBossImg[[#This Row],[Name]])</f>
        <v>#VALUE!</v>
      </c>
      <c r="U8" s="2" t="s">
        <v>124</v>
      </c>
      <c r="V8" s="2" t="s">
        <v>138</v>
      </c>
      <c r="X8" s="2" t="s">
        <v>223</v>
      </c>
      <c r="Y8" s="2" t="s">
        <v>242</v>
      </c>
      <c r="Z8" s="2" t="e" vm="120">
        <f>_xlfn.IMAGE(_xlfn.CONCAT("https://raw.githubusercontent.com/ItsCryp7iC/Genshin-Image-Hosting/main/",$X$1,"/",Y$1,"/",MonsterMaterialsImg[[#This Row],[3*Name]],".png"),MonsterMaterialsImg[[#This Row],[3*Name]])</f>
        <v>#VALUE!</v>
      </c>
      <c r="AA8" s="2" t="s">
        <v>233</v>
      </c>
      <c r="AB8" s="2" t="e" vm="121">
        <f>_xlfn.IMAGE(_xlfn.CONCAT("https://raw.githubusercontent.com/ItsCryp7iC/Genshin-Image-Hosting/main/",$X$1,"/",AA$1,"/",MonsterMaterialsImg[[#This Row],[2*Name]],".png"),MonsterMaterialsImg[[#This Row],[2*Name]])</f>
        <v>#VALUE!</v>
      </c>
      <c r="AC8" s="2" t="s">
        <v>224</v>
      </c>
      <c r="AD8" s="2" t="e" vm="122">
        <f>_xlfn.IMAGE(_xlfn.CONCAT("https://raw.githubusercontent.com/ItsCryp7iC/Genshin-Image-Hosting/main/",$X$1,"/",AC$1,"/",MonsterMaterialsImg[[#This Row],[1*Name]],".png"),MonsterMaterialsImg[[#This Row],[1*Name]])</f>
        <v>#VALUE!</v>
      </c>
      <c r="AF8" s="2" t="e" vm="123">
        <f>_xlfn.IMAGE(_xlfn.CONCAT("https://raw.githubusercontent.com/ItsCryp7iC/Genshin-Image-Hosting/main/",AF$1,"/",TalentBooksImg[[#This Row],[Name]],".png"),TalentBooksImg[[#This Row],[Name]])</f>
        <v>#VALUE!</v>
      </c>
      <c r="AG8" s="2" t="s">
        <v>128</v>
      </c>
      <c r="AI8" s="2" t="e" vm="124">
        <f>_xlfn.IMAGE(_xlfn.CONCAT("https://raw.githubusercontent.com/ItsCryp7iC/Genshin-Image-Hosting/main/",AI$1,"/",LocalSpecialtiesImg[[#This Row],[Name]],".png"),LocalSpecialtiesImg[[#This Row],[Name]])</f>
        <v>#VALUE!</v>
      </c>
      <c r="AJ8" s="2" t="s">
        <v>418</v>
      </c>
      <c r="AL8" s="2" t="e" vm="125">
        <f>_xlfn.IMAGE(_xlfn.CONCAT("https://raw.githubusercontent.com/ItsCryp7iC/Genshin-Image-Hosting/main/",AL$1,"/",GemsImg[[#This Row],[Name]],".png"),GemsImg[[#This Row],[Name]])</f>
        <v>#VALUE!</v>
      </c>
      <c r="AM8" s="2" t="str">
        <f>_xlfn.CONCAT(GemsImg[[#This Row],[Column2]],GemsImg[[#This Row],[Column1]])</f>
        <v>AgnidusAgateChunk</v>
      </c>
      <c r="AN8" s="2" t="s">
        <v>773</v>
      </c>
      <c r="AO8" s="2" t="s">
        <v>55</v>
      </c>
      <c r="AQ8" s="2" t="e" vm="126">
        <f>_xlfn.IMAGE(_xlfn.CONCAT("https://raw.githubusercontent.com/ItsCryp7iC/Genshin-Image-Hosting/main/",AQ$1,"/",MiscImg[[#This Row],[Name]],".png"),MiscImg[[#This Row],[Name]])</f>
        <v>#VALUE!</v>
      </c>
      <c r="AR8" s="2" t="s">
        <v>142</v>
      </c>
      <c r="AW8" s="2" t="e" vm="127">
        <f>_xlfn.IMAGE(_xlfn.CONCAT("https://raw.githubusercontent.com/ItsCryp7iC/Genshin-Image-Hosting/main/",AW$1,"/",ElementsImg[[#This Row],[Name]],".png"),ElementsImg[[#This Row],[Name]])</f>
        <v>#VALUE!</v>
      </c>
      <c r="AX8" s="2" t="s">
        <v>155</v>
      </c>
      <c r="AZ8" s="2" t="e" vm="128">
        <f>_xlfn.IMAGE(_xlfn.CONCAT("https://raw.githubusercontent.com/ItsCryp7iC/Genshin-Image-Hosting/main/",AZ$1,"/",WeaponsImg[[#This Row],[Name]],".png"),WeaponsImg[[#This Row],[Name]])</f>
        <v>#VALUE!</v>
      </c>
      <c r="BA8" s="2" t="s">
        <v>156</v>
      </c>
      <c r="BC8" s="2" t="e" vm="129">
        <f>_xlfn.IMAGE(_xlfn.CONCAT("https://raw.githubusercontent.com/ItsCryp7iC/Genshin-Image-Hosting/main/",BC$1,"/",WeaponMaterialsImg[[#This Row],[Name]],".png"),WeaponMaterialsImg[[#This Row],[Name]])</f>
        <v>#VALUE!</v>
      </c>
      <c r="BD8" s="2" t="s">
        <v>157</v>
      </c>
    </row>
    <row r="9" spans="1:56" ht="30" customHeight="1" x14ac:dyDescent="0.25">
      <c r="D9" s="4" t="e" vm="130">
        <f>_xlfn.IMAGE(_xlfn.CONCAT("https://raw.githubusercontent.com/ItsCryp7iC/Genshin-Image-Hosting/main/",D$1,"/",CharacterDetailsImg[[#This Row],[Name]],".png"),CharacterDetailsImg[[#This Row],[Name]])</f>
        <v>#VALUE!</v>
      </c>
      <c r="E9" s="2" t="s">
        <v>158</v>
      </c>
      <c r="F9" s="2" t="e" vm="5">
        <f t="shared" si="0"/>
        <v>#VALUE!</v>
      </c>
      <c r="G9" s="2" t="e" vm="131">
        <f>$AW$3</f>
        <v>#VALUE!</v>
      </c>
      <c r="H9" s="13">
        <v>1</v>
      </c>
      <c r="I9" s="2" t="e" vm="132">
        <f>$P$3</f>
        <v>#VALUE!</v>
      </c>
      <c r="J9" s="2" t="e" vm="52">
        <f>$T$3</f>
        <v>#VALUE!</v>
      </c>
      <c r="K9" s="2" t="e" vm="53">
        <f>$AF$6</f>
        <v>#VALUE!</v>
      </c>
      <c r="L9" s="2" t="e" vm="133">
        <f>$Z$4</f>
        <v>#VALUE!</v>
      </c>
      <c r="M9" s="2" t="e" vm="134">
        <f>$AI$10</f>
        <v>#VALUE!</v>
      </c>
      <c r="N9" s="5" t="e" vm="135">
        <f>IF(OR(
E9="TravelerAnemo",
E9="TravelerGeo",
E9="TravelerElectro",
E9="TravelerDendro",
E9="TravelerHydro",
E9="TravelerPyro",
E9="TravelerCryo"),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9" s="2" t="e" vm="136">
        <f>_xlfn.IMAGE(_xlfn.CONCAT("https://raw.githubusercontent.com/ItsCryp7iC/Genshin-Image-Hosting/main/",P$1,"/",WorldBossImg[[#This Row],[Name]],".png"),WorldBossImg[[#This Row],[Name]])</f>
        <v>#VALUE!</v>
      </c>
      <c r="Q9" s="2" t="s">
        <v>159</v>
      </c>
      <c r="R9" s="2" t="s">
        <v>160</v>
      </c>
      <c r="T9" s="2" t="e" vm="137">
        <f>_xlfn.IMAGE(_xlfn.CONCAT("https://raw.githubusercontent.com/ItsCryp7iC/Genshin-Image-Hosting/main/",T$1,"/",WeeklyBossImg[[#This Row],[Name]],".png"),WeeklyBossImg[[#This Row],[Name]])</f>
        <v>#VALUE!</v>
      </c>
      <c r="U9" s="2" t="s">
        <v>161</v>
      </c>
      <c r="V9" s="2" t="s">
        <v>183</v>
      </c>
      <c r="X9" s="2" t="s">
        <v>280</v>
      </c>
      <c r="Y9" s="2" t="s">
        <v>299</v>
      </c>
      <c r="Z9" s="2" t="e" vm="138">
        <f>_xlfn.IMAGE(_xlfn.CONCAT("https://raw.githubusercontent.com/ItsCryp7iC/Genshin-Image-Hosting/main/",$X$1,"/",Y$1,"/",MonsterMaterialsImg[[#This Row],[3*Name]],".png"),MonsterMaterialsImg[[#This Row],[3*Name]])</f>
        <v>#VALUE!</v>
      </c>
      <c r="AA9" s="2" t="s">
        <v>290</v>
      </c>
      <c r="AB9" s="2" t="e" vm="139">
        <f>_xlfn.IMAGE(_xlfn.CONCAT("https://raw.githubusercontent.com/ItsCryp7iC/Genshin-Image-Hosting/main/",$X$1,"/",AA$1,"/",MonsterMaterialsImg[[#This Row],[2*Name]],".png"),MonsterMaterialsImg[[#This Row],[2*Name]])</f>
        <v>#VALUE!</v>
      </c>
      <c r="AC9" s="2" t="s">
        <v>281</v>
      </c>
      <c r="AD9" s="2" t="e" vm="140">
        <f>_xlfn.IMAGE(_xlfn.CONCAT("https://raw.githubusercontent.com/ItsCryp7iC/Genshin-Image-Hosting/main/",$X$1,"/",AC$1,"/",MonsterMaterialsImg[[#This Row],[1*Name]],".png"),MonsterMaterialsImg[[#This Row],[1*Name]])</f>
        <v>#VALUE!</v>
      </c>
      <c r="AF9" s="2" t="e" vm="141">
        <f>_xlfn.IMAGE(_xlfn.CONCAT("https://raw.githubusercontent.com/ItsCryp7iC/Genshin-Image-Hosting/main/",AF$1,"/",TalentBooksImg[[#This Row],[Name]],".png"),TalentBooksImg[[#This Row],[Name]])</f>
        <v>#VALUE!</v>
      </c>
      <c r="AG9" s="2" t="s">
        <v>113</v>
      </c>
      <c r="AI9" s="2" t="e" vm="142">
        <f>_xlfn.IMAGE(_xlfn.CONCAT("https://raw.githubusercontent.com/ItsCryp7iC/Genshin-Image-Hosting/main/",AI$1,"/",LocalSpecialtiesImg[[#This Row],[Name]],".png"),LocalSpecialtiesImg[[#This Row],[Name]])</f>
        <v>#VALUE!</v>
      </c>
      <c r="AJ9" s="2" t="s">
        <v>114</v>
      </c>
      <c r="AL9" s="2" t="e" vm="143">
        <f>_xlfn.IMAGE(_xlfn.CONCAT("https://raw.githubusercontent.com/ItsCryp7iC/Genshin-Image-Hosting/main/",AL$1,"/",GemsImg[[#This Row],[Name]],".png"),GemsImg[[#This Row],[Name]])</f>
        <v>#VALUE!</v>
      </c>
      <c r="AM9" s="2" t="str">
        <f>_xlfn.CONCAT(GemsImg[[#This Row],[Column2]],GemsImg[[#This Row],[Column1]])</f>
        <v>AgnidusAgateFragment</v>
      </c>
      <c r="AN9" s="2" t="s">
        <v>773</v>
      </c>
      <c r="AO9" s="2" t="s">
        <v>54</v>
      </c>
      <c r="AQ9" s="2" t="e" vm="144">
        <f>_xlfn.IMAGE(_xlfn.CONCAT("https://raw.githubusercontent.com/ItsCryp7iC/Genshin-Image-Hosting/main/",AQ$1,"/",MiscImg[[#This Row],[Name]],".png"),MiscImg[[#This Row],[Name]])</f>
        <v>#VALUE!</v>
      </c>
      <c r="AR9" s="2" t="s">
        <v>154</v>
      </c>
      <c r="AW9" s="2" t="e" vm="145">
        <f>_xlfn.IMAGE(_xlfn.CONCAT("https://raw.githubusercontent.com/ItsCryp7iC/Genshin-Image-Hosting/main/",AW$1,"/",ElementsImg[[#This Row],[Name]],".png"),ElementsImg[[#This Row],[Name]])</f>
        <v>#VALUE!</v>
      </c>
      <c r="AX9" s="2" t="s">
        <v>168</v>
      </c>
      <c r="AZ9" s="2" t="e" vm="146">
        <f>_xlfn.IMAGE(_xlfn.CONCAT("https://raw.githubusercontent.com/ItsCryp7iC/Genshin-Image-Hosting/main/",AZ$1,"/",WeaponsImg[[#This Row],[Name]],".png"),WeaponsImg[[#This Row],[Name]])</f>
        <v>#VALUE!</v>
      </c>
      <c r="BA9" s="2" t="s">
        <v>169</v>
      </c>
      <c r="BC9" s="2" t="e" vm="147">
        <f>_xlfn.IMAGE(_xlfn.CONCAT("https://raw.githubusercontent.com/ItsCryp7iC/Genshin-Image-Hosting/main/",BC$1,"/",WeaponMaterialsImg[[#This Row],[Name]],".png"),WeaponMaterialsImg[[#This Row],[Name]])</f>
        <v>#VALUE!</v>
      </c>
      <c r="BD9" s="2" t="s">
        <v>170</v>
      </c>
    </row>
    <row r="10" spans="1:56" ht="30" customHeight="1" x14ac:dyDescent="0.25">
      <c r="D10" s="4" t="e" vm="148">
        <f>_xlfn.IMAGE(_xlfn.CONCAT("https://raw.githubusercontent.com/ItsCryp7iC/Genshin-Image-Hosting/main/",D$1,"/",CharacterDetailsImg[[#This Row],[Name]],".png"),CharacterDetailsImg[[#This Row],[Name]])</f>
        <v>#VALUE!</v>
      </c>
      <c r="E10" s="2" t="s">
        <v>171</v>
      </c>
      <c r="F10" s="2" t="e" vm="5">
        <f t="shared" si="0"/>
        <v>#VALUE!</v>
      </c>
      <c r="G10" s="2" t="e" vm="131">
        <f>$AW$3</f>
        <v>#VALUE!</v>
      </c>
      <c r="H10" s="13">
        <v>1</v>
      </c>
      <c r="I10" s="2" t="e" vm="149">
        <f>$P$11</f>
        <v>#VALUE!</v>
      </c>
      <c r="J10" s="2" t="e" vm="150">
        <f>$T$14</f>
        <v>#VALUE!</v>
      </c>
      <c r="K10" s="2" t="e" vm="151">
        <f>$AF$15</f>
        <v>#VALUE!</v>
      </c>
      <c r="L10" s="2" t="e" vm="54">
        <f>$Z$8</f>
        <v>#VALUE!</v>
      </c>
      <c r="M10" s="2" t="e" vm="152">
        <f>$AI$25</f>
        <v>#VALUE!</v>
      </c>
      <c r="N10" s="5" t="e" vm="135">
        <f>IF(OR(
E10="TravelerAnemo",
E10="TravelerGeo",
E10="TravelerElectro",
E10="TravelerDendro",
E10="TravelerHydro",
E10="TravelerPyro",
E10="TravelerCryo"),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0" s="2" t="e" vm="153">
        <f>_xlfn.IMAGE(_xlfn.CONCAT("https://raw.githubusercontent.com/ItsCryp7iC/Genshin-Image-Hosting/main/",P$1,"/",WorldBossImg[[#This Row],[Name]],".png"),WorldBossImg[[#This Row],[Name]])</f>
        <v>#VALUE!</v>
      </c>
      <c r="Q10" s="2" t="s">
        <v>172</v>
      </c>
      <c r="R10" s="2" t="s">
        <v>173</v>
      </c>
      <c r="T10" s="2" t="e" vm="154">
        <f>_xlfn.IMAGE(_xlfn.CONCAT("https://raw.githubusercontent.com/ItsCryp7iC/Genshin-Image-Hosting/main/",T$1,"/",WeeklyBossImg[[#This Row],[Name]],".png"),WeeklyBossImg[[#This Row],[Name]])</f>
        <v>#VALUE!</v>
      </c>
      <c r="U10" s="2" t="s">
        <v>161</v>
      </c>
      <c r="V10" s="2" t="s">
        <v>162</v>
      </c>
      <c r="X10" s="2" t="s">
        <v>309</v>
      </c>
      <c r="Y10" s="2" t="s">
        <v>327</v>
      </c>
      <c r="Z10" s="2" t="e" vm="155">
        <f>_xlfn.IMAGE(_xlfn.CONCAT("https://raw.githubusercontent.com/ItsCryp7iC/Genshin-Image-Hosting/main/",$X$1,"/",Y$1,"/",MonsterMaterialsImg[[#This Row],[3*Name]],".png"),MonsterMaterialsImg[[#This Row],[3*Name]])</f>
        <v>#VALUE!</v>
      </c>
      <c r="AA10" s="2" t="s">
        <v>319</v>
      </c>
      <c r="AB10" s="2" t="e" vm="156">
        <f>_xlfn.IMAGE(_xlfn.CONCAT("https://raw.githubusercontent.com/ItsCryp7iC/Genshin-Image-Hosting/main/",$X$1,"/",AA$1,"/",MonsterMaterialsImg[[#This Row],[2*Name]],".png"),MonsterMaterialsImg[[#This Row],[2*Name]])</f>
        <v>#VALUE!</v>
      </c>
      <c r="AC10" s="2" t="s">
        <v>310</v>
      </c>
      <c r="AD10" s="2" t="e" vm="157">
        <f>_xlfn.IMAGE(_xlfn.CONCAT("https://raw.githubusercontent.com/ItsCryp7iC/Genshin-Image-Hosting/main/",$X$1,"/",AC$1,"/",MonsterMaterialsImg[[#This Row],[1*Name]],".png"),MonsterMaterialsImg[[#This Row],[1*Name]])</f>
        <v>#VALUE!</v>
      </c>
      <c r="AF10" s="2" t="e" vm="158">
        <f>_xlfn.IMAGE(_xlfn.CONCAT("https://raw.githubusercontent.com/ItsCryp7iC/Genshin-Image-Hosting/main/",AF$1,"/",TalentBooksImg[[#This Row],[Name]],".png"),TalentBooksImg[[#This Row],[Name]])</f>
        <v>#VALUE!</v>
      </c>
      <c r="AG10" s="2" t="s">
        <v>100</v>
      </c>
      <c r="AI10" s="2" t="e" vm="159">
        <f>_xlfn.IMAGE(_xlfn.CONCAT("https://raw.githubusercontent.com/ItsCryp7iC/Genshin-Image-Hosting/main/",AI$1,"/",LocalSpecialtiesImg[[#This Row],[Name]],".png"),LocalSpecialtiesImg[[#This Row],[Name]])</f>
        <v>#VALUE!</v>
      </c>
      <c r="AJ10" s="2" t="s">
        <v>177</v>
      </c>
      <c r="AL10" s="2" t="e" vm="160">
        <f>_xlfn.IMAGE(_xlfn.CONCAT("https://raw.githubusercontent.com/ItsCryp7iC/Genshin-Image-Hosting/main/",AL$1,"/",GemsImg[[#This Row],[Name]],".png"),GemsImg[[#This Row],[Name]])</f>
        <v>#VALUE!</v>
      </c>
      <c r="AM10" s="2" t="str">
        <f>_xlfn.CONCAT(GemsImg[[#This Row],[Column2]],GemsImg[[#This Row],[Column1]])</f>
        <v>AgnidusAgateSilver</v>
      </c>
      <c r="AN10" s="2" t="s">
        <v>773</v>
      </c>
      <c r="AO10" s="2" t="s">
        <v>53</v>
      </c>
      <c r="AQ10" s="2" t="e" vm="161">
        <f>_xlfn.IMAGE(_xlfn.CONCAT("https://raw.githubusercontent.com/ItsCryp7iC/Genshin-Image-Hosting/main/",AQ$1,"/",MiscImg[[#This Row],[Name]],".png"),MiscImg[[#This Row],[Name]])</f>
        <v>#VALUE!</v>
      </c>
      <c r="AR10" s="2" t="s">
        <v>167</v>
      </c>
      <c r="AZ10" s="2" t="e" vm="162">
        <f>_xlfn.IMAGE(_xlfn.CONCAT("https://raw.githubusercontent.com/ItsCryp7iC/Genshin-Image-Hosting/main/",AZ$1,"/",WeaponsImg[[#This Row],[Name]],".png"),WeaponsImg[[#This Row],[Name]])</f>
        <v>#VALUE!</v>
      </c>
      <c r="BA10" s="2" t="s">
        <v>178</v>
      </c>
      <c r="BC10" s="2" t="e" vm="163">
        <f>_xlfn.IMAGE(_xlfn.CONCAT("https://raw.githubusercontent.com/ItsCryp7iC/Genshin-Image-Hosting/main/",BC$1,"/",WeaponMaterialsImg[[#This Row],[Name]],".png"),WeaponMaterialsImg[[#This Row],[Name]])</f>
        <v>#VALUE!</v>
      </c>
      <c r="BD10" s="2" t="s">
        <v>179</v>
      </c>
    </row>
    <row r="11" spans="1:56" ht="30" customHeight="1" x14ac:dyDescent="0.25">
      <c r="D11" s="4" t="e" vm="164">
        <f>_xlfn.IMAGE(_xlfn.CONCAT("https://raw.githubusercontent.com/ItsCryp7iC/Genshin-Image-Hosting/main/",D$1,"/",CharacterDetailsImg[[#This Row],[Name]],".png"),CharacterDetailsImg[[#This Row],[Name]])</f>
        <v>#VALUE!</v>
      </c>
      <c r="E11" s="2" t="s">
        <v>180</v>
      </c>
      <c r="F11" s="2" t="e" vm="5">
        <f t="shared" si="0"/>
        <v>#VALUE!</v>
      </c>
      <c r="G11" s="2" t="e" vm="165">
        <f>$AW$9</f>
        <v>#VALUE!</v>
      </c>
      <c r="H11" s="13">
        <v>2</v>
      </c>
      <c r="I11" s="2" t="e" vm="166">
        <f>$P$5</f>
        <v>#VALUE!</v>
      </c>
      <c r="J11" s="2" t="e" vm="167">
        <f>$T$8</f>
        <v>#VALUE!</v>
      </c>
      <c r="K11" s="2" t="e" vm="9">
        <f>$AF$9</f>
        <v>#VALUE!</v>
      </c>
      <c r="L11" s="2" t="e" vm="54">
        <f>$Z$8</f>
        <v>#VALUE!</v>
      </c>
      <c r="M11" s="2" t="e" vm="168">
        <f>$AI$9</f>
        <v>#VALUE!</v>
      </c>
      <c r="N11" s="5" t="e" vm="169">
        <f>IF(OR(
E11="TravelerAnemo",
E11="TravelerGeo",
E11="TravelerElectro",
E11="TravelerDendro",
E11="TravelerHydro",
E11="TravelerPyro",
E11="TravelerCryo"),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1" s="2" t="e" vm="170">
        <f>_xlfn.IMAGE(_xlfn.CONCAT("https://raw.githubusercontent.com/ItsCryp7iC/Genshin-Image-Hosting/main/",P$1,"/",WorldBossImg[[#This Row],[Name]],".png"),WorldBossImg[[#This Row],[Name]])</f>
        <v>#VALUE!</v>
      </c>
      <c r="Q11" s="2" t="s">
        <v>181</v>
      </c>
      <c r="R11" s="2" t="s">
        <v>182</v>
      </c>
      <c r="T11" s="2" t="e" vm="171">
        <f>_xlfn.IMAGE(_xlfn.CONCAT("https://raw.githubusercontent.com/ItsCryp7iC/Genshin-Image-Hosting/main/",T$1,"/",WeeklyBossImg[[#This Row],[Name]],".png"),WeeklyBossImg[[#This Row],[Name]])</f>
        <v>#VALUE!</v>
      </c>
      <c r="U11" s="2" t="s">
        <v>161</v>
      </c>
      <c r="V11" s="2" t="s">
        <v>174</v>
      </c>
      <c r="X11" s="2" t="s">
        <v>336</v>
      </c>
      <c r="Y11" s="2" t="s">
        <v>355</v>
      </c>
      <c r="Z11" s="2" t="e" vm="172">
        <f>_xlfn.IMAGE(_xlfn.CONCAT("https://raw.githubusercontent.com/ItsCryp7iC/Genshin-Image-Hosting/main/",$X$1,"/",Y$1,"/",MonsterMaterialsImg[[#This Row],[3*Name]],".png"),MonsterMaterialsImg[[#This Row],[3*Name]])</f>
        <v>#VALUE!</v>
      </c>
      <c r="AA11" s="2" t="s">
        <v>346</v>
      </c>
      <c r="AB11" s="2" t="e" vm="173">
        <f>_xlfn.IMAGE(_xlfn.CONCAT("https://raw.githubusercontent.com/ItsCryp7iC/Genshin-Image-Hosting/main/",$X$1,"/",AA$1,"/",MonsterMaterialsImg[[#This Row],[2*Name]],".png"),MonsterMaterialsImg[[#This Row],[2*Name]])</f>
        <v>#VALUE!</v>
      </c>
      <c r="AC11" s="2" t="s">
        <v>337</v>
      </c>
      <c r="AD11" s="2" t="e" vm="174">
        <f>_xlfn.IMAGE(_xlfn.CONCAT("https://raw.githubusercontent.com/ItsCryp7iC/Genshin-Image-Hosting/main/",$X$1,"/",AC$1,"/",MonsterMaterialsImg[[#This Row],[1*Name]],".png"),MonsterMaterialsImg[[#This Row],[1*Name]])</f>
        <v>#VALUE!</v>
      </c>
      <c r="AF11" s="2" t="e" vm="175">
        <f>_xlfn.IMAGE(_xlfn.CONCAT("https://raw.githubusercontent.com/ItsCryp7iC/Genshin-Image-Hosting/main/",AF$1,"/",TalentBooksImg[[#This Row],[Name]],".png"),TalentBooksImg[[#This Row],[Name]])</f>
        <v>#VALUE!</v>
      </c>
      <c r="AG11" s="2" t="s">
        <v>88</v>
      </c>
      <c r="AI11" s="2" t="e" vm="176">
        <f>_xlfn.IMAGE(_xlfn.CONCAT("https://raw.githubusercontent.com/ItsCryp7iC/Genshin-Image-Hosting/main/",AI$1,"/",LocalSpecialtiesImg[[#This Row],[Name]],".png"),LocalSpecialtiesImg[[#This Row],[Name]])</f>
        <v>#VALUE!</v>
      </c>
      <c r="AJ11" s="2" t="s">
        <v>226</v>
      </c>
      <c r="AL11" s="2" t="e" vm="177">
        <f>_xlfn.IMAGE(_xlfn.CONCAT("https://raw.githubusercontent.com/ItsCryp7iC/Genshin-Image-Hosting/main/",AL$1,"/",GemsImg[[#This Row],[Name]],".png"),GemsImg[[#This Row],[Name]])</f>
        <v>#VALUE!</v>
      </c>
      <c r="AM11" s="2" t="str">
        <f>_xlfn.CONCAT(GemsImg[[#This Row],[Column2]],GemsImg[[#This Row],[Column1]])</f>
        <v>VarunadaLazuriteGemstone</v>
      </c>
      <c r="AN11" s="2" t="s">
        <v>774</v>
      </c>
      <c r="AO11" s="2" t="s">
        <v>56</v>
      </c>
      <c r="AZ11" s="2" t="e" vm="178">
        <f>_xlfn.IMAGE(_xlfn.CONCAT("https://raw.githubusercontent.com/ItsCryp7iC/Genshin-Image-Hosting/main/",AZ$1,"/",WeaponsImg[[#This Row],[Name]],".png"),WeaponsImg[[#This Row],[Name]])</f>
        <v>#VALUE!</v>
      </c>
      <c r="BA11" s="2" t="s">
        <v>187</v>
      </c>
      <c r="BC11" s="2" t="e" vm="179">
        <f>_xlfn.IMAGE(_xlfn.CONCAT("https://raw.githubusercontent.com/ItsCryp7iC/Genshin-Image-Hosting/main/",BC$1,"/",WeaponMaterialsImg[[#This Row],[Name]],".png"),WeaponMaterialsImg[[#This Row],[Name]])</f>
        <v>#VALUE!</v>
      </c>
      <c r="BD11" s="2" t="s">
        <v>188</v>
      </c>
    </row>
    <row r="12" spans="1:56" ht="30" customHeight="1" x14ac:dyDescent="0.25">
      <c r="D12" s="4" t="e" vm="180">
        <f>_xlfn.IMAGE(_xlfn.CONCAT("https://raw.githubusercontent.com/ItsCryp7iC/Genshin-Image-Hosting/main/",D$1,"/",CharacterDetailsImg[[#This Row],[Name]],".png"),CharacterDetailsImg[[#This Row],[Name]])</f>
        <v>#VALUE!</v>
      </c>
      <c r="E12" s="2" t="s">
        <v>189</v>
      </c>
      <c r="F12" s="2" t="e" vm="5">
        <f t="shared" si="0"/>
        <v>#VALUE!</v>
      </c>
      <c r="G12" s="2" t="e" vm="165">
        <f>$AW$9</f>
        <v>#VALUE!</v>
      </c>
      <c r="H12" s="13">
        <v>2.6</v>
      </c>
      <c r="I12" s="2" t="e" vm="181">
        <f>$P$12</f>
        <v>#VALUE!</v>
      </c>
      <c r="J12" s="2" t="e" vm="182">
        <f>$T$13</f>
        <v>#VALUE!</v>
      </c>
      <c r="K12" s="2" t="e" vm="183">
        <f>$AF$24</f>
        <v>#VALUE!</v>
      </c>
      <c r="L12" s="2" t="e" vm="184">
        <f>$Z$10</f>
        <v>#VALUE!</v>
      </c>
      <c r="M12" s="2" t="e" vm="185">
        <f>$AI$21</f>
        <v>#VALUE!</v>
      </c>
      <c r="N12" s="5" t="e" vm="169">
        <f>IF(OR(
E12="TravelerAnemo",
E12="TravelerGeo",
E12="TravelerElectro",
E12="TravelerDendro",
E12="TravelerHydro",
E12="TravelerPyro",
E12="TravelerCryo"),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2" s="2" t="e" vm="186">
        <f>_xlfn.IMAGE(_xlfn.CONCAT("https://raw.githubusercontent.com/ItsCryp7iC/Genshin-Image-Hosting/main/",P$1,"/",WorldBossImg[[#This Row],[Name]],".png"),WorldBossImg[[#This Row],[Name]])</f>
        <v>#VALUE!</v>
      </c>
      <c r="Q12" s="2" t="s">
        <v>190</v>
      </c>
      <c r="R12" s="2" t="s">
        <v>191</v>
      </c>
      <c r="T12" s="2" t="e" vm="187">
        <f>_xlfn.IMAGE(_xlfn.CONCAT("https://raw.githubusercontent.com/ItsCryp7iC/Genshin-Image-Hosting/main/",T$1,"/",WeeklyBossImg[[#This Row],[Name]],".png"),WeeklyBossImg[[#This Row],[Name]])</f>
        <v>#VALUE!</v>
      </c>
      <c r="U12" s="2" t="s">
        <v>192</v>
      </c>
      <c r="V12" s="2" t="s">
        <v>193</v>
      </c>
      <c r="X12" s="2" t="s">
        <v>365</v>
      </c>
      <c r="Y12" s="2" t="s">
        <v>383</v>
      </c>
      <c r="Z12" s="2" t="e" vm="188">
        <f>_xlfn.IMAGE(_xlfn.CONCAT("https://raw.githubusercontent.com/ItsCryp7iC/Genshin-Image-Hosting/main/",$X$1,"/",Y$1,"/",MonsterMaterialsImg[[#This Row],[3*Name]],".png"),MonsterMaterialsImg[[#This Row],[3*Name]])</f>
        <v>#VALUE!</v>
      </c>
      <c r="AA12" s="2" t="s">
        <v>375</v>
      </c>
      <c r="AB12" s="2" t="e" vm="189">
        <f>_xlfn.IMAGE(_xlfn.CONCAT("https://raw.githubusercontent.com/ItsCryp7iC/Genshin-Image-Hosting/main/",$X$1,"/",AA$1,"/",MonsterMaterialsImg[[#This Row],[2*Name]],".png"),MonsterMaterialsImg[[#This Row],[2*Name]])</f>
        <v>#VALUE!</v>
      </c>
      <c r="AC12" s="2" t="s">
        <v>366</v>
      </c>
      <c r="AD12" s="2" t="e" vm="190">
        <f>_xlfn.IMAGE(_xlfn.CONCAT("https://raw.githubusercontent.com/ItsCryp7iC/Genshin-Image-Hosting/main/",$X$1,"/",AC$1,"/",MonsterMaterialsImg[[#This Row],[1*Name]],".png"),MonsterMaterialsImg[[#This Row],[1*Name]])</f>
        <v>#VALUE!</v>
      </c>
      <c r="AF12" s="2" t="e" vm="191">
        <f>_xlfn.IMAGE(_xlfn.CONCAT("https://raw.githubusercontent.com/ItsCryp7iC/Genshin-Image-Hosting/main/",AF$1,"/",TalentBooksImg[[#This Row],[Name]],".png"),TalentBooksImg[[#This Row],[Name]])</f>
        <v>#VALUE!</v>
      </c>
      <c r="AG12" s="2" t="s">
        <v>243</v>
      </c>
      <c r="AI12" s="2" t="e" vm="192">
        <f>_xlfn.IMAGE(_xlfn.CONCAT("https://raw.githubusercontent.com/ItsCryp7iC/Genshin-Image-Hosting/main/",AI$1,"/",LocalSpecialtiesImg[[#This Row],[Name]],".png"),LocalSpecialtiesImg[[#This Row],[Name]])</f>
        <v>#VALUE!</v>
      </c>
      <c r="AJ12" s="2" t="s">
        <v>301</v>
      </c>
      <c r="AL12" s="2" t="e" vm="193">
        <f>_xlfn.IMAGE(_xlfn.CONCAT("https://raw.githubusercontent.com/ItsCryp7iC/Genshin-Image-Hosting/main/",AL$1,"/",GemsImg[[#This Row],[Name]],".png"),GemsImg[[#This Row],[Name]])</f>
        <v>#VALUE!</v>
      </c>
      <c r="AM12" s="2" t="str">
        <f>_xlfn.CONCAT(GemsImg[[#This Row],[Column2]],GemsImg[[#This Row],[Column1]])</f>
        <v>VarunadaLazuriteChunk</v>
      </c>
      <c r="AN12" s="2" t="s">
        <v>774</v>
      </c>
      <c r="AO12" s="2" t="s">
        <v>55</v>
      </c>
      <c r="AZ12" s="2" t="e" vm="194">
        <f>_xlfn.IMAGE(_xlfn.CONCAT("https://raw.githubusercontent.com/ItsCryp7iC/Genshin-Image-Hosting/main/",AZ$1,"/",WeaponsImg[[#This Row],[Name]],".png"),WeaponsImg[[#This Row],[Name]])</f>
        <v>#VALUE!</v>
      </c>
      <c r="BA12" s="2" t="s">
        <v>198</v>
      </c>
      <c r="BC12" s="2" t="e" vm="195">
        <f>_xlfn.IMAGE(_xlfn.CONCAT("https://raw.githubusercontent.com/ItsCryp7iC/Genshin-Image-Hosting/main/",BC$1,"/",WeaponMaterialsImg[[#This Row],[Name]],".png"),WeaponMaterialsImg[[#This Row],[Name]])</f>
        <v>#VALUE!</v>
      </c>
      <c r="BD12" s="2" t="s">
        <v>199</v>
      </c>
    </row>
    <row r="13" spans="1:56" ht="30" customHeight="1" x14ac:dyDescent="0.25">
      <c r="D13" s="4" t="e" vm="196">
        <f>_xlfn.IMAGE(_xlfn.CONCAT("https://raw.githubusercontent.com/ItsCryp7iC/Genshin-Image-Hosting/main/",D$1,"/",CharacterDetailsImg[[#This Row],[Name]],".png"),CharacterDetailsImg[[#This Row],[Name]])</f>
        <v>#VALUE!</v>
      </c>
      <c r="E13" s="2" t="s">
        <v>200</v>
      </c>
      <c r="F13" s="2" t="e" vm="5">
        <f t="shared" si="0"/>
        <v>#VALUE!</v>
      </c>
      <c r="G13" s="2" t="e" vm="112">
        <f>$AW$7</f>
        <v>#VALUE!</v>
      </c>
      <c r="H13" s="13">
        <v>3.6</v>
      </c>
      <c r="I13" s="2" t="e" vm="197">
        <f>$P$14</f>
        <v>#VALUE!</v>
      </c>
      <c r="J13" s="2" t="e" vm="198">
        <f>$T$18</f>
        <v>#VALUE!</v>
      </c>
      <c r="K13" s="2" t="e" vm="183">
        <f>$AF$24</f>
        <v>#VALUE!</v>
      </c>
      <c r="L13" s="2" t="e" vm="184">
        <f>$Z$10</f>
        <v>#VALUE!</v>
      </c>
      <c r="M13" s="2" t="e" vm="185">
        <f>$AI$21</f>
        <v>#VALUE!</v>
      </c>
      <c r="N13" s="5" t="e" vm="117">
        <f>IF(OR(
E13="TravelerAnemo",
E13="TravelerGeo",
E13="TravelerElectro",
E13="TravelerDendro",
E13="TravelerHydro",
E13="TravelerPyro",
E13="TravelerCryo"),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3" s="2" t="e" vm="199">
        <f>_xlfn.IMAGE(_xlfn.CONCAT("https://raw.githubusercontent.com/ItsCryp7iC/Genshin-Image-Hosting/main/",P$1,"/",WorldBossImg[[#This Row],[Name]],".png"),WorldBossImg[[#This Row],[Name]])</f>
        <v>#VALUE!</v>
      </c>
      <c r="Q13" s="2" t="s">
        <v>201</v>
      </c>
      <c r="R13" s="2" t="s">
        <v>202</v>
      </c>
      <c r="T13" s="2" t="e" vm="200">
        <f>_xlfn.IMAGE(_xlfn.CONCAT("https://raw.githubusercontent.com/ItsCryp7iC/Genshin-Image-Hosting/main/",T$1,"/",WeeklyBossImg[[#This Row],[Name]],".png"),WeeklyBossImg[[#This Row],[Name]])</f>
        <v>#VALUE!</v>
      </c>
      <c r="U13" s="2" t="s">
        <v>192</v>
      </c>
      <c r="V13" s="2" t="s">
        <v>212</v>
      </c>
      <c r="X13" s="2" t="s">
        <v>44</v>
      </c>
      <c r="Y13" s="2" t="s">
        <v>403</v>
      </c>
      <c r="Z13" s="2" t="e" vm="201">
        <f>_xlfn.IMAGE(_xlfn.CONCAT("https://raw.githubusercontent.com/ItsCryp7iC/Genshin-Image-Hosting/main/",$X$1,"/",Y$1,"/",MonsterMaterialsImg[[#This Row],[3*Name]],".png"),MonsterMaterialsImg[[#This Row],[3*Name]])</f>
        <v>#VALUE!</v>
      </c>
      <c r="AA13" s="2" t="s">
        <v>397</v>
      </c>
      <c r="AB13" s="2" t="e" vm="202">
        <f>_xlfn.IMAGE(_xlfn.CONCAT("https://raw.githubusercontent.com/ItsCryp7iC/Genshin-Image-Hosting/main/",$X$1,"/",AA$1,"/",MonsterMaterialsImg[[#This Row],[2*Name]],".png"),MonsterMaterialsImg[[#This Row],[2*Name]])</f>
        <v>#VALUE!</v>
      </c>
      <c r="AC13" s="2" t="s">
        <v>391</v>
      </c>
      <c r="AD13" s="2" t="e" vm="203">
        <f>_xlfn.IMAGE(_xlfn.CONCAT("https://raw.githubusercontent.com/ItsCryp7iC/Genshin-Image-Hosting/main/",$X$1,"/",AC$1,"/",MonsterMaterialsImg[[#This Row],[1*Name]],".png"),MonsterMaterialsImg[[#This Row],[1*Name]])</f>
        <v>#VALUE!</v>
      </c>
      <c r="AF13" s="2" t="e" vm="204">
        <f>_xlfn.IMAGE(_xlfn.CONCAT("https://raw.githubusercontent.com/ItsCryp7iC/Genshin-Image-Hosting/main/",AF$1,"/",TalentBooksImg[[#This Row],[Name]],".png"),TalentBooksImg[[#This Row],[Name]])</f>
        <v>#VALUE!</v>
      </c>
      <c r="AG13" s="2" t="s">
        <v>234</v>
      </c>
      <c r="AI13" s="2" t="e" vm="205">
        <f>_xlfn.IMAGE(_xlfn.CONCAT("https://raw.githubusercontent.com/ItsCryp7iC/Genshin-Image-Hosting/main/",AI$1,"/",LocalSpecialtiesImg[[#This Row],[Name]],".png"),LocalSpecialtiesImg[[#This Row],[Name]])</f>
        <v>#VALUE!</v>
      </c>
      <c r="AJ13" s="2" t="s">
        <v>412</v>
      </c>
      <c r="AL13" s="2" t="e" vm="206">
        <f>_xlfn.IMAGE(_xlfn.CONCAT("https://raw.githubusercontent.com/ItsCryp7iC/Genshin-Image-Hosting/main/",AL$1,"/",GemsImg[[#This Row],[Name]],".png"),GemsImg[[#This Row],[Name]])</f>
        <v>#VALUE!</v>
      </c>
      <c r="AM13" s="2" t="str">
        <f>_xlfn.CONCAT(GemsImg[[#This Row],[Column2]],GemsImg[[#This Row],[Column1]])</f>
        <v>VarunadaLazuriteFragment</v>
      </c>
      <c r="AN13" s="2" t="s">
        <v>774</v>
      </c>
      <c r="AO13" s="2" t="s">
        <v>54</v>
      </c>
      <c r="AZ13" s="2" t="e" vm="207">
        <f>_xlfn.IMAGE(_xlfn.CONCAT("https://raw.githubusercontent.com/ItsCryp7iC/Genshin-Image-Hosting/main/",AZ$1,"/",WeaponsImg[[#This Row],[Name]],".png"),WeaponsImg[[#This Row],[Name]])</f>
        <v>#VALUE!</v>
      </c>
      <c r="BA13" s="2" t="s">
        <v>207</v>
      </c>
      <c r="BC13" s="2" t="e" vm="208">
        <f>_xlfn.IMAGE(_xlfn.CONCAT("https://raw.githubusercontent.com/ItsCryp7iC/Genshin-Image-Hosting/main/",BC$1,"/",WeaponMaterialsImg[[#This Row],[Name]],".png"),WeaponMaterialsImg[[#This Row],[Name]])</f>
        <v>#VALUE!</v>
      </c>
      <c r="BD13" s="2" t="s">
        <v>208</v>
      </c>
    </row>
    <row r="14" spans="1:56" ht="30" customHeight="1" x14ac:dyDescent="0.25">
      <c r="D14" s="4" t="e" vm="209">
        <f>_xlfn.IMAGE(_xlfn.CONCAT("https://raw.githubusercontent.com/ItsCryp7iC/Genshin-Image-Hosting/main/",D$1,"/",CharacterDetailsImg[[#This Row],[Name]],".png"),CharacterDetailsImg[[#This Row],[Name]])</f>
        <v>#VALUE!</v>
      </c>
      <c r="E14" s="2" t="s">
        <v>209</v>
      </c>
      <c r="F14" s="2" t="e" vm="5">
        <f t="shared" si="0"/>
        <v>#VALUE!</v>
      </c>
      <c r="G14" s="2" t="e" vm="91">
        <f>$AW$5</f>
        <v>#VALUE!</v>
      </c>
      <c r="H14" s="13">
        <v>1</v>
      </c>
      <c r="I14" s="2" t="e" vm="210">
        <f>$P$4</f>
        <v>#VALUE!</v>
      </c>
      <c r="J14" s="2" t="e" vm="211">
        <f>$T$7</f>
        <v>#VALUE!</v>
      </c>
      <c r="K14" s="2" t="e" vm="212">
        <f>$AF$12</f>
        <v>#VALUE!</v>
      </c>
      <c r="L14" s="2" t="e" vm="115">
        <f>$Z$9</f>
        <v>#VALUE!</v>
      </c>
      <c r="M14" s="2" t="e" vm="213">
        <f>$AI$18</f>
        <v>#VALUE!</v>
      </c>
      <c r="N14" s="5" t="e" vm="97">
        <f>IF(OR(
E14="TravelerAnemo",
E14="TravelerGeo",
E14="TravelerElectro",
E14="TravelerDendro",
E14="TravelerHydro",
E14="TravelerPyro",
E14="TravelerCryo"),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4" s="2" t="e" vm="214">
        <f>_xlfn.IMAGE(_xlfn.CONCAT("https://raw.githubusercontent.com/ItsCryp7iC/Genshin-Image-Hosting/main/",P$1,"/",WorldBossImg[[#This Row],[Name]],".png"),WorldBossImg[[#This Row],[Name]])</f>
        <v>#VALUE!</v>
      </c>
      <c r="Q14" s="2" t="s">
        <v>210</v>
      </c>
      <c r="R14" s="2" t="s">
        <v>211</v>
      </c>
      <c r="T14" s="2" t="e" vm="215">
        <f>_xlfn.IMAGE(_xlfn.CONCAT("https://raw.githubusercontent.com/ItsCryp7iC/Genshin-Image-Hosting/main/",T$1,"/",WeeklyBossImg[[#This Row],[Name]],".png"),WeeklyBossImg[[#This Row],[Name]])</f>
        <v>#VALUE!</v>
      </c>
      <c r="U14" s="2" t="s">
        <v>192</v>
      </c>
      <c r="V14" s="2" t="s">
        <v>203</v>
      </c>
      <c r="X14" s="2" t="s">
        <v>409</v>
      </c>
      <c r="Y14" s="2" t="s">
        <v>422</v>
      </c>
      <c r="Z14" s="2" t="e" vm="216">
        <f>_xlfn.IMAGE(_xlfn.CONCAT("https://raw.githubusercontent.com/ItsCryp7iC/Genshin-Image-Hosting/main/",$X$1,"/",Y$1,"/",MonsterMaterialsImg[[#This Row],[3*Name]],".png"),MonsterMaterialsImg[[#This Row],[3*Name]])</f>
        <v>#VALUE!</v>
      </c>
      <c r="AA14" s="2" t="s">
        <v>416</v>
      </c>
      <c r="AB14" s="2" t="e" vm="217">
        <f>_xlfn.IMAGE(_xlfn.CONCAT("https://raw.githubusercontent.com/ItsCryp7iC/Genshin-Image-Hosting/main/",$X$1,"/",AA$1,"/",MonsterMaterialsImg[[#This Row],[2*Name]],".png"),MonsterMaterialsImg[[#This Row],[2*Name]])</f>
        <v>#VALUE!</v>
      </c>
      <c r="AC14" s="2" t="s">
        <v>410</v>
      </c>
      <c r="AD14" s="2" t="e" vm="218">
        <f>_xlfn.IMAGE(_xlfn.CONCAT("https://raw.githubusercontent.com/ItsCryp7iC/Genshin-Image-Hosting/main/",$X$1,"/",AC$1,"/",MonsterMaterialsImg[[#This Row],[1*Name]],".png"),MonsterMaterialsImg[[#This Row],[1*Name]])</f>
        <v>#VALUE!</v>
      </c>
      <c r="AF14" s="2" t="e" vm="219">
        <f>_xlfn.IMAGE(_xlfn.CONCAT("https://raw.githubusercontent.com/ItsCryp7iC/Genshin-Image-Hosting/main/",AF$1,"/",TalentBooksImg[[#This Row],[Name]],".png"),TalentBooksImg[[#This Row],[Name]])</f>
        <v>#VALUE!</v>
      </c>
      <c r="AG14" s="2" t="s">
        <v>225</v>
      </c>
      <c r="AI14" s="2" t="e" vm="220">
        <f>_xlfn.IMAGE(_xlfn.CONCAT("https://raw.githubusercontent.com/ItsCryp7iC/Genshin-Image-Hosting/main/",AI$1,"/",LocalSpecialtiesImg[[#This Row],[Name]],".png"),LocalSpecialtiesImg[[#This Row],[Name]])</f>
        <v>#VALUE!</v>
      </c>
      <c r="AJ14" s="2" t="s">
        <v>206</v>
      </c>
      <c r="AL14" s="2" t="e" vm="221">
        <f>_xlfn.IMAGE(_xlfn.CONCAT("https://raw.githubusercontent.com/ItsCryp7iC/Genshin-Image-Hosting/main/",AL$1,"/",GemsImg[[#This Row],[Name]],".png"),GemsImg[[#This Row],[Name]])</f>
        <v>#VALUE!</v>
      </c>
      <c r="AM14" s="2" t="str">
        <f>_xlfn.CONCAT(GemsImg[[#This Row],[Column2]],GemsImg[[#This Row],[Column1]])</f>
        <v>VarunadaLazuriteSilver</v>
      </c>
      <c r="AN14" s="2" t="s">
        <v>774</v>
      </c>
      <c r="AO14" s="2" t="s">
        <v>53</v>
      </c>
      <c r="AZ14" s="2" t="e" vm="222">
        <f>_xlfn.IMAGE(_xlfn.CONCAT("https://raw.githubusercontent.com/ItsCryp7iC/Genshin-Image-Hosting/main/",AZ$1,"/",WeaponsImg[[#This Row],[Name]],".png"),WeaponsImg[[#This Row],[Name]])</f>
        <v>#VALUE!</v>
      </c>
      <c r="BA14" s="2" t="s">
        <v>216</v>
      </c>
      <c r="BC14" s="2" t="e" vm="223">
        <f>_xlfn.IMAGE(_xlfn.CONCAT("https://raw.githubusercontent.com/ItsCryp7iC/Genshin-Image-Hosting/main/",BC$1,"/",WeaponMaterialsImg[[#This Row],[Name]],".png"),WeaponMaterialsImg[[#This Row],[Name]])</f>
        <v>#VALUE!</v>
      </c>
      <c r="BD14" s="2" t="s">
        <v>217</v>
      </c>
    </row>
    <row r="15" spans="1:56" ht="30" customHeight="1" x14ac:dyDescent="0.25">
      <c r="D15" s="4" t="e" vm="224">
        <f>_xlfn.IMAGE(_xlfn.CONCAT("https://raw.githubusercontent.com/ItsCryp7iC/Genshin-Image-Hosting/main/",D$1,"/",CharacterDetailsImg[[#This Row],[Name]],".png"),CharacterDetailsImg[[#This Row],[Name]])</f>
        <v>#VALUE!</v>
      </c>
      <c r="E15" s="2" t="s">
        <v>218</v>
      </c>
      <c r="F15" s="2" t="e" vm="5">
        <f t="shared" si="0"/>
        <v>#VALUE!</v>
      </c>
      <c r="G15" s="2" t="e" vm="28">
        <f>$AW$6</f>
        <v>#VALUE!</v>
      </c>
      <c r="H15" s="13">
        <v>3.7</v>
      </c>
      <c r="I15" s="2" t="e" vm="225">
        <f>$P$25</f>
        <v>#VALUE!</v>
      </c>
      <c r="J15" s="2" t="e" vm="93">
        <f>$T$26</f>
        <v>#VALUE!</v>
      </c>
      <c r="K15" s="2" t="e" vm="226">
        <f>$AF$21</f>
        <v>#VALUE!</v>
      </c>
      <c r="L15" s="2" t="e" vm="75">
        <f>$Z$11</f>
        <v>#VALUE!</v>
      </c>
      <c r="M15" s="2" t="e" vm="227">
        <f>$AI$27</f>
        <v>#VALUE!</v>
      </c>
      <c r="N15" s="5" t="e" vm="34">
        <f>IF(OR(
E15="TravelerAnemo",
E15="TravelerGeo",
E15="TravelerElectro",
E15="TravelerDendro",
E15="TravelerHydro",
E15="TravelerPyro",
E15="TravelerCryo"),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5" s="2" t="e" vm="228">
        <f>_xlfn.IMAGE(_xlfn.CONCAT("https://raw.githubusercontent.com/ItsCryp7iC/Genshin-Image-Hosting/main/",P$1,"/",WorldBossImg[[#This Row],[Name]],".png"),WorldBossImg[[#This Row],[Name]])</f>
        <v>#VALUE!</v>
      </c>
      <c r="Q15" s="2" t="s">
        <v>219</v>
      </c>
      <c r="R15" s="2" t="s">
        <v>220</v>
      </c>
      <c r="T15" s="2" t="e" vm="229">
        <f>_xlfn.IMAGE(_xlfn.CONCAT("https://raw.githubusercontent.com/ItsCryp7iC/Genshin-Image-Hosting/main/",T$1,"/",WeeklyBossImg[[#This Row],[Name]],".png"),WeeklyBossImg[[#This Row],[Name]])</f>
        <v>#VALUE!</v>
      </c>
      <c r="U15" s="2" t="s">
        <v>221</v>
      </c>
      <c r="V15" s="2" t="s">
        <v>241</v>
      </c>
      <c r="X15" s="2" t="s">
        <v>427</v>
      </c>
      <c r="Y15" s="2" t="s">
        <v>440</v>
      </c>
      <c r="Z15" s="2" t="e" vm="230">
        <f>_xlfn.IMAGE(_xlfn.CONCAT("https://raw.githubusercontent.com/ItsCryp7iC/Genshin-Image-Hosting/main/",$X$1,"/",Y$1,"/",MonsterMaterialsImg[[#This Row],[3*Name]],".png"),MonsterMaterialsImg[[#This Row],[3*Name]])</f>
        <v>#VALUE!</v>
      </c>
      <c r="AA15" s="2" t="s">
        <v>434</v>
      </c>
      <c r="AB15" s="2" t="e" vm="231">
        <f>_xlfn.IMAGE(_xlfn.CONCAT("https://raw.githubusercontent.com/ItsCryp7iC/Genshin-Image-Hosting/main/",$X$1,"/",AA$1,"/",MonsterMaterialsImg[[#This Row],[2*Name]],".png"),MonsterMaterialsImg[[#This Row],[2*Name]])</f>
        <v>#VALUE!</v>
      </c>
      <c r="AC15" s="2" t="s">
        <v>428</v>
      </c>
      <c r="AD15" s="2" t="e" vm="232">
        <f>_xlfn.IMAGE(_xlfn.CONCAT("https://raw.githubusercontent.com/ItsCryp7iC/Genshin-Image-Hosting/main/",$X$1,"/",AC$1,"/",MonsterMaterialsImg[[#This Row],[1*Name]],".png"),MonsterMaterialsImg[[#This Row],[1*Name]])</f>
        <v>#VALUE!</v>
      </c>
      <c r="AF15" s="2" t="e" vm="233">
        <f>_xlfn.IMAGE(_xlfn.CONCAT("https://raw.githubusercontent.com/ItsCryp7iC/Genshin-Image-Hosting/main/",AF$1,"/",TalentBooksImg[[#This Row],[Name]],".png"),TalentBooksImg[[#This Row],[Name]])</f>
        <v>#VALUE!</v>
      </c>
      <c r="AG15" s="2" t="s">
        <v>272</v>
      </c>
      <c r="AI15" s="2" t="e" vm="234">
        <f>_xlfn.IMAGE(_xlfn.CONCAT("https://raw.githubusercontent.com/ItsCryp7iC/Genshin-Image-Hosting/main/",AI$1,"/",LocalSpecialtiesImg[[#This Row],[Name]],".png"),LocalSpecialtiesImg[[#This Row],[Name]])</f>
        <v>#VALUE!</v>
      </c>
      <c r="AJ15" s="2" t="s">
        <v>339</v>
      </c>
      <c r="AL15" s="2" t="e" vm="235">
        <f>_xlfn.IMAGE(_xlfn.CONCAT("https://raw.githubusercontent.com/ItsCryp7iC/Genshin-Image-Hosting/main/",AL$1,"/",GemsImg[[#This Row],[Name]],".png"),GemsImg[[#This Row],[Name]])</f>
        <v>#VALUE!</v>
      </c>
      <c r="AM15" s="2" t="str">
        <f>_xlfn.CONCAT(GemsImg[[#This Row],[Column2]],GemsImg[[#This Row],[Column1]])</f>
        <v>NagadusEmeraldGemstone</v>
      </c>
      <c r="AN15" s="2" t="s">
        <v>775</v>
      </c>
      <c r="AO15" s="2" t="s">
        <v>56</v>
      </c>
      <c r="AZ15" s="2" t="e" vm="236">
        <f>_xlfn.IMAGE(_xlfn.CONCAT("https://raw.githubusercontent.com/ItsCryp7iC/Genshin-Image-Hosting/main/",AZ$1,"/",WeaponsImg[[#This Row],[Name]],".png"),WeaponsImg[[#This Row],[Name]])</f>
        <v>#VALUE!</v>
      </c>
      <c r="BA15" s="2" t="s">
        <v>227</v>
      </c>
      <c r="BC15" s="2" t="e" vm="237">
        <f>_xlfn.IMAGE(_xlfn.CONCAT("https://raw.githubusercontent.com/ItsCryp7iC/Genshin-Image-Hosting/main/",BC$1,"/",WeaponMaterialsImg[[#This Row],[Name]],".png"),WeaponMaterialsImg[[#This Row],[Name]])</f>
        <v>#VALUE!</v>
      </c>
      <c r="BD15" s="2" t="s">
        <v>228</v>
      </c>
    </row>
    <row r="16" spans="1:56" ht="30" customHeight="1" x14ac:dyDescent="0.25">
      <c r="D16" s="4" t="e" vm="238">
        <f>_xlfn.IMAGE(_xlfn.CONCAT("https://raw.githubusercontent.com/ItsCryp7iC/Genshin-Image-Hosting/main/",D$1,"/",CharacterDetailsImg[[#This Row],[Name]],".png"),CharacterDetailsImg[[#This Row],[Name]])</f>
        <v>#VALUE!</v>
      </c>
      <c r="E16" s="2" t="s">
        <v>229</v>
      </c>
      <c r="F16" s="2" t="e" vm="5">
        <f t="shared" si="0"/>
        <v>#VALUE!</v>
      </c>
      <c r="G16" s="2" t="e" vm="91">
        <f>$AW$5</f>
        <v>#VALUE!</v>
      </c>
      <c r="H16" s="13">
        <v>2.7</v>
      </c>
      <c r="I16" s="2" t="e" vm="239">
        <f>$P$18</f>
        <v>#VALUE!</v>
      </c>
      <c r="J16" s="2" t="e" vm="240">
        <f>$T$19</f>
        <v>#VALUE!</v>
      </c>
      <c r="K16" s="2" t="e" vm="183">
        <f>$AF$24</f>
        <v>#VALUE!</v>
      </c>
      <c r="L16" s="2" t="e" vm="75">
        <f>$Z$11</f>
        <v>#VALUE!</v>
      </c>
      <c r="M16" s="2" t="e" vm="241">
        <f>$AI$24</f>
        <v>#VALUE!</v>
      </c>
      <c r="N16" s="5" t="e" vm="97">
        <f>IF(OR(
E16="TravelerAnemo",
E16="TravelerGeo",
E16="TravelerElectro",
E16="TravelerDendro",
E16="TravelerHydro",
E16="TravelerPyro",
E16="TravelerCryo"),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6" s="2" t="e" vm="242">
        <f>_xlfn.IMAGE(_xlfn.CONCAT("https://raw.githubusercontent.com/ItsCryp7iC/Genshin-Image-Hosting/main/",P$1,"/",WorldBossImg[[#This Row],[Name]],".png"),WorldBossImg[[#This Row],[Name]])</f>
        <v>#VALUE!</v>
      </c>
      <c r="Q16" s="2" t="s">
        <v>230</v>
      </c>
      <c r="R16" s="2" t="s">
        <v>231</v>
      </c>
      <c r="T16" s="2" t="e" vm="243">
        <f>_xlfn.IMAGE(_xlfn.CONCAT("https://raw.githubusercontent.com/ItsCryp7iC/Genshin-Image-Hosting/main/",T$1,"/",WeeklyBossImg[[#This Row],[Name]],".png"),WeeklyBossImg[[#This Row],[Name]])</f>
        <v>#VALUE!</v>
      </c>
      <c r="U16" s="2" t="s">
        <v>221</v>
      </c>
      <c r="V16" s="2" t="s">
        <v>222</v>
      </c>
      <c r="AF16" s="2" t="e" vm="244">
        <f>_xlfn.IMAGE(_xlfn.CONCAT("https://raw.githubusercontent.com/ItsCryp7iC/Genshin-Image-Hosting/main/",AF$1,"/",TalentBooksImg[[#This Row],[Name]],".png"),TalentBooksImg[[#This Row],[Name]])</f>
        <v>#VALUE!</v>
      </c>
      <c r="AG16" s="2" t="s">
        <v>263</v>
      </c>
      <c r="AI16" s="2" t="e" vm="245">
        <f>_xlfn.IMAGE(_xlfn.CONCAT("https://raw.githubusercontent.com/ItsCryp7iC/Genshin-Image-Hosting/main/",AI$1,"/",LocalSpecialtiesImg[[#This Row],[Name]],".png"),LocalSpecialtiesImg[[#This Row],[Name]])</f>
        <v>#VALUE!</v>
      </c>
      <c r="AJ16" s="2" t="s">
        <v>430</v>
      </c>
      <c r="AL16" s="2" t="e" vm="246">
        <f>_xlfn.IMAGE(_xlfn.CONCAT("https://raw.githubusercontent.com/ItsCryp7iC/Genshin-Image-Hosting/main/",AL$1,"/",GemsImg[[#This Row],[Name]],".png"),GemsImg[[#This Row],[Name]])</f>
        <v>#VALUE!</v>
      </c>
      <c r="AM16" s="2" t="str">
        <f>_xlfn.CONCAT(GemsImg[[#This Row],[Column2]],GemsImg[[#This Row],[Column1]])</f>
        <v>NagadusEmeraldChunk</v>
      </c>
      <c r="AN16" s="2" t="s">
        <v>775</v>
      </c>
      <c r="AO16" s="2" t="s">
        <v>55</v>
      </c>
      <c r="AZ16" s="2" t="e" vm="247">
        <f>_xlfn.IMAGE(_xlfn.CONCAT("https://raw.githubusercontent.com/ItsCryp7iC/Genshin-Image-Hosting/main/",AZ$1,"/",WeaponsImg[[#This Row],[Name]],".png"),WeaponsImg[[#This Row],[Name]])</f>
        <v>#VALUE!</v>
      </c>
      <c r="BA16" s="2" t="s">
        <v>236</v>
      </c>
      <c r="BC16" s="2" t="e" vm="248">
        <f>_xlfn.IMAGE(_xlfn.CONCAT("https://raw.githubusercontent.com/ItsCryp7iC/Genshin-Image-Hosting/main/",BC$1,"/",WeaponMaterialsImg[[#This Row],[Name]],".png"),WeaponMaterialsImg[[#This Row],[Name]])</f>
        <v>#VALUE!</v>
      </c>
      <c r="BD16" s="2" t="s">
        <v>237</v>
      </c>
    </row>
    <row r="17" spans="4:56" ht="30" customHeight="1" x14ac:dyDescent="0.25">
      <c r="D17" s="4" t="e" vm="249">
        <f>_xlfn.IMAGE(_xlfn.CONCAT("https://raw.githubusercontent.com/ItsCryp7iC/Genshin-Image-Hosting/main/",D$1,"/",CharacterDetailsImg[[#This Row],[Name]],".png"),CharacterDetailsImg[[#This Row],[Name]])</f>
        <v>#VALUE!</v>
      </c>
      <c r="E17" s="2" t="s">
        <v>238</v>
      </c>
      <c r="F17" s="2" t="e" vm="5">
        <f t="shared" si="0"/>
        <v>#VALUE!</v>
      </c>
      <c r="G17" s="2" t="e" vm="165">
        <f>$AW$9</f>
        <v>#VALUE!</v>
      </c>
      <c r="H17" s="13">
        <v>3.2</v>
      </c>
      <c r="I17" s="2" t="e" vm="250">
        <f>$P$21</f>
        <v>#VALUE!</v>
      </c>
      <c r="J17" s="3" t="e" vm="30">
        <f>$T$22</f>
        <v>#VALUE!</v>
      </c>
      <c r="K17" s="2" t="e" vm="31">
        <f>$AF$33</f>
        <v>#VALUE!</v>
      </c>
      <c r="L17" s="2" t="e" vm="10">
        <f>$Z$5</f>
        <v>#VALUE!</v>
      </c>
      <c r="M17" s="2" t="e" vm="251">
        <f>$AI$31</f>
        <v>#VALUE!</v>
      </c>
      <c r="N17" s="5" t="e" vm="169">
        <f>IF(OR(
E17="TravelerAnemo",
E17="TravelerGeo",
E17="TravelerElectro",
E17="TravelerDendro",
E17="TravelerHydro",
E17="TravelerPyro",
E17="TravelerCryo"),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7" s="2" t="e" vm="252">
        <f>_xlfn.IMAGE(_xlfn.CONCAT("https://raw.githubusercontent.com/ItsCryp7iC/Genshin-Image-Hosting/main/",P$1,"/",WorldBossImg[[#This Row],[Name]],".png"),WorldBossImg[[#This Row],[Name]])</f>
        <v>#VALUE!</v>
      </c>
      <c r="Q17" s="2" t="s">
        <v>239</v>
      </c>
      <c r="R17" s="2" t="s">
        <v>240</v>
      </c>
      <c r="T17" s="2" t="e" vm="253">
        <f>_xlfn.IMAGE(_xlfn.CONCAT("https://raw.githubusercontent.com/ItsCryp7iC/Genshin-Image-Hosting/main/",T$1,"/",WeeklyBossImg[[#This Row],[Name]],".png"),WeeklyBossImg[[#This Row],[Name]])</f>
        <v>#VALUE!</v>
      </c>
      <c r="U17" s="2" t="s">
        <v>221</v>
      </c>
      <c r="V17" s="2" t="s">
        <v>232</v>
      </c>
      <c r="AF17" s="2" t="e" vm="254">
        <f>_xlfn.IMAGE(_xlfn.CONCAT("https://raw.githubusercontent.com/ItsCryp7iC/Genshin-Image-Hosting/main/",AF$1,"/",TalentBooksImg[[#This Row],[Name]],".png"),TalentBooksImg[[#This Row],[Name]])</f>
        <v>#VALUE!</v>
      </c>
      <c r="AG17" s="2" t="s">
        <v>254</v>
      </c>
      <c r="AI17" s="2" t="e" vm="255">
        <f>_xlfn.IMAGE(_xlfn.CONCAT("https://raw.githubusercontent.com/ItsCryp7iC/Genshin-Image-Hosting/main/",AI$1,"/",LocalSpecialtiesImg[[#This Row],[Name]],".png"),LocalSpecialtiesImg[[#This Row],[Name]])</f>
        <v>#VALUE!</v>
      </c>
      <c r="AJ17" s="2" t="s">
        <v>451</v>
      </c>
      <c r="AL17" s="2" t="e" vm="256">
        <f>_xlfn.IMAGE(_xlfn.CONCAT("https://raw.githubusercontent.com/ItsCryp7iC/Genshin-Image-Hosting/main/",AL$1,"/",GemsImg[[#This Row],[Name]],".png"),GemsImg[[#This Row],[Name]])</f>
        <v>#VALUE!</v>
      </c>
      <c r="AM17" s="2" t="str">
        <f>_xlfn.CONCAT(GemsImg[[#This Row],[Column2]],GemsImg[[#This Row],[Column1]])</f>
        <v>NagadusEmeraldFragment</v>
      </c>
      <c r="AN17" s="2" t="s">
        <v>775</v>
      </c>
      <c r="AO17" s="2" t="s">
        <v>54</v>
      </c>
      <c r="AZ17" s="2" t="e" vm="257">
        <f>_xlfn.IMAGE(_xlfn.CONCAT("https://raw.githubusercontent.com/ItsCryp7iC/Genshin-Image-Hosting/main/",AZ$1,"/",WeaponsImg[[#This Row],[Name]],".png"),WeaponsImg[[#This Row],[Name]])</f>
        <v>#VALUE!</v>
      </c>
      <c r="BA17" s="2" t="s">
        <v>245</v>
      </c>
      <c r="BC17" s="2" t="e" vm="258">
        <f>_xlfn.IMAGE(_xlfn.CONCAT("https://raw.githubusercontent.com/ItsCryp7iC/Genshin-Image-Hosting/main/",BC$1,"/",WeaponMaterialsImg[[#This Row],[Name]],".png"),WeaponMaterialsImg[[#This Row],[Name]])</f>
        <v>#VALUE!</v>
      </c>
      <c r="BD17" s="2" t="s">
        <v>246</v>
      </c>
    </row>
    <row r="18" spans="4:56" ht="30" customHeight="1" x14ac:dyDescent="0.25">
      <c r="D18" s="4" t="e" vm="259">
        <f>_xlfn.IMAGE(_xlfn.CONCAT("https://raw.githubusercontent.com/ItsCryp7iC/Genshin-Image-Hosting/main/",D$1,"/",CharacterDetailsImg[[#This Row],[Name]],".png"),CharacterDetailsImg[[#This Row],[Name]])</f>
        <v>#VALUE!</v>
      </c>
      <c r="E18" s="2" t="s">
        <v>247</v>
      </c>
      <c r="F18" s="2" t="e" vm="5">
        <f t="shared" si="0"/>
        <v>#VALUE!</v>
      </c>
      <c r="G18" s="2" t="e" vm="131">
        <f>$AW$3</f>
        <v>#VALUE!</v>
      </c>
      <c r="H18" s="13">
        <v>4</v>
      </c>
      <c r="I18" s="2" t="e" vm="72">
        <f>$P$26</f>
        <v>#VALUE!</v>
      </c>
      <c r="J18" s="2" t="e" vm="93">
        <f>$T$26</f>
        <v>#VALUE!</v>
      </c>
      <c r="K18" s="2" t="e" vm="260">
        <f>$AF$45</f>
        <v>#VALUE!</v>
      </c>
      <c r="L18" s="2" t="e" vm="261">
        <f>$Z$15</f>
        <v>#VALUE!</v>
      </c>
      <c r="M18" s="2" t="e" vm="262">
        <f>$AI$40</f>
        <v>#VALUE!</v>
      </c>
      <c r="N18" s="5" t="e" vm="135">
        <f>IF(OR(
E18="TravelerAnemo",
E18="TravelerGeo",
E18="TravelerElectro",
E18="TravelerDendro",
E18="TravelerHydro",
E18="TravelerPyro",
E18="TravelerCryo"),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8" s="2" t="e" vm="263">
        <f>_xlfn.IMAGE(_xlfn.CONCAT("https://raw.githubusercontent.com/ItsCryp7iC/Genshin-Image-Hosting/main/",P$1,"/",WorldBossImg[[#This Row],[Name]],".png"),WorldBossImg[[#This Row],[Name]])</f>
        <v>#VALUE!</v>
      </c>
      <c r="Q18" s="2" t="s">
        <v>248</v>
      </c>
      <c r="R18" s="2" t="s">
        <v>249</v>
      </c>
      <c r="T18" s="2" t="e" vm="264">
        <f>_xlfn.IMAGE(_xlfn.CONCAT("https://raw.githubusercontent.com/ItsCryp7iC/Genshin-Image-Hosting/main/",T$1,"/",WeeklyBossImg[[#This Row],[Name]],".png"),WeeklyBossImg[[#This Row],[Name]])</f>
        <v>#VALUE!</v>
      </c>
      <c r="U18" s="2" t="s">
        <v>250</v>
      </c>
      <c r="V18" s="2" t="s">
        <v>251</v>
      </c>
      <c r="AF18" s="2" t="e" vm="265">
        <f>_xlfn.IMAGE(_xlfn.CONCAT("https://raw.githubusercontent.com/ItsCryp7iC/Genshin-Image-Hosting/main/",AF$1,"/",TalentBooksImg[[#This Row],[Name]],".png"),TalentBooksImg[[#This Row],[Name]])</f>
        <v>#VALUE!</v>
      </c>
      <c r="AG18" s="2" t="s">
        <v>214</v>
      </c>
      <c r="AI18" s="2" t="e" vm="266">
        <f>_xlfn.IMAGE(_xlfn.CONCAT("https://raw.githubusercontent.com/ItsCryp7iC/Genshin-Image-Hosting/main/",AI$1,"/",LocalSpecialtiesImg[[#This Row],[Name]],".png"),LocalSpecialtiesImg[[#This Row],[Name]])</f>
        <v>#VALUE!</v>
      </c>
      <c r="AJ18" s="2" t="s">
        <v>153</v>
      </c>
      <c r="AL18" s="2" t="e" vm="267">
        <f>_xlfn.IMAGE(_xlfn.CONCAT("https://raw.githubusercontent.com/ItsCryp7iC/Genshin-Image-Hosting/main/",AL$1,"/",GemsImg[[#This Row],[Name]],".png"),GemsImg[[#This Row],[Name]])</f>
        <v>#VALUE!</v>
      </c>
      <c r="AM18" s="2" t="str">
        <f>_xlfn.CONCAT(GemsImg[[#This Row],[Column2]],GemsImg[[#This Row],[Column1]])</f>
        <v>NagadusEmeraldSilver</v>
      </c>
      <c r="AN18" s="2" t="s">
        <v>775</v>
      </c>
      <c r="AO18" s="2" t="s">
        <v>53</v>
      </c>
      <c r="AZ18" s="2" t="e" vm="268">
        <f>_xlfn.IMAGE(_xlfn.CONCAT("https://raw.githubusercontent.com/ItsCryp7iC/Genshin-Image-Hosting/main/",AZ$1,"/",WeaponsImg[[#This Row],[Name]],".png"),WeaponsImg[[#This Row],[Name]])</f>
        <v>#VALUE!</v>
      </c>
      <c r="BA18" s="2" t="s">
        <v>256</v>
      </c>
      <c r="BC18" s="2" t="e" vm="269">
        <f>_xlfn.IMAGE(_xlfn.CONCAT("https://raw.githubusercontent.com/ItsCryp7iC/Genshin-Image-Hosting/main/",BC$1,"/",WeaponMaterialsImg[[#This Row],[Name]],".png"),WeaponMaterialsImg[[#This Row],[Name]])</f>
        <v>#VALUE!</v>
      </c>
      <c r="BD18" s="2" t="s">
        <v>257</v>
      </c>
    </row>
    <row r="19" spans="4:56" ht="30" customHeight="1" x14ac:dyDescent="0.25">
      <c r="D19" s="4" t="e" vm="270">
        <f>_xlfn.IMAGE(_xlfn.CONCAT("https://raw.githubusercontent.com/ItsCryp7iC/Genshin-Image-Hosting/main/",D$1,"/",CharacterDetailsImg[[#This Row],[Name]],".png"),CharacterDetailsImg[[#This Row],[Name]])</f>
        <v>#VALUE!</v>
      </c>
      <c r="E19" s="2" t="s">
        <v>258</v>
      </c>
      <c r="F19" s="2" t="e" vm="5">
        <f t="shared" si="0"/>
        <v>#VALUE!</v>
      </c>
      <c r="G19" s="2" t="e" vm="112">
        <f>$AW$7</f>
        <v>#VALUE!</v>
      </c>
      <c r="H19" s="13">
        <v>3.1</v>
      </c>
      <c r="I19" s="2" t="e" vm="250">
        <f>$P$21</f>
        <v>#VALUE!</v>
      </c>
      <c r="J19" s="2" t="e" vm="240">
        <f>$T$19</f>
        <v>#VALUE!</v>
      </c>
      <c r="K19" s="2" t="e" vm="271">
        <f>$AF$36</f>
        <v>#VALUE!</v>
      </c>
      <c r="L19" s="2" t="e" vm="272">
        <f>$Z$12</f>
        <v>#VALUE!</v>
      </c>
      <c r="M19" s="2" t="e" vm="273">
        <f>$AI$30</f>
        <v>#VALUE!</v>
      </c>
      <c r="N19" s="5" t="e" vm="117">
        <f>IF(OR(
E19="TravelerAnemo",
E19="TravelerGeo",
E19="TravelerElectro",
E19="TravelerDendro",
E19="TravelerHydro",
E19="TravelerPyro",
E19="TravelerCryo"),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19" s="2" t="e" vm="274">
        <f>_xlfn.IMAGE(_xlfn.CONCAT("https://raw.githubusercontent.com/ItsCryp7iC/Genshin-Image-Hosting/main/",P$1,"/",WorldBossImg[[#This Row],[Name]],".png"),WorldBossImg[[#This Row],[Name]])</f>
        <v>#VALUE!</v>
      </c>
      <c r="Q19" s="2" t="s">
        <v>268</v>
      </c>
      <c r="R19" s="2" t="s">
        <v>269</v>
      </c>
      <c r="T19" s="2" t="e" vm="275">
        <f>_xlfn.IMAGE(_xlfn.CONCAT("https://raw.githubusercontent.com/ItsCryp7iC/Genshin-Image-Hosting/main/",T$1,"/",WeeklyBossImg[[#This Row],[Name]],".png"),WeeklyBossImg[[#This Row],[Name]])</f>
        <v>#VALUE!</v>
      </c>
      <c r="U19" s="2" t="s">
        <v>250</v>
      </c>
      <c r="V19" s="2" t="s">
        <v>270</v>
      </c>
      <c r="AF19" s="2" t="e" vm="276">
        <f>_xlfn.IMAGE(_xlfn.CONCAT("https://raw.githubusercontent.com/ItsCryp7iC/Genshin-Image-Hosting/main/",AF$1,"/",TalentBooksImg[[#This Row],[Name]],".png"),TalentBooksImg[[#This Row],[Name]])</f>
        <v>#VALUE!</v>
      </c>
      <c r="AG19" s="2" t="s">
        <v>205</v>
      </c>
      <c r="AI19" s="2" t="e" vm="277">
        <f>_xlfn.IMAGE(_xlfn.CONCAT("https://raw.githubusercontent.com/ItsCryp7iC/Genshin-Image-Hosting/main/",AI$1,"/",LocalSpecialtiesImg[[#This Row],[Name]],".png"),LocalSpecialtiesImg[[#This Row],[Name]])</f>
        <v>#VALUE!</v>
      </c>
      <c r="AJ19" s="2" t="s">
        <v>141</v>
      </c>
      <c r="AL19" s="2" t="e" vm="278">
        <f>_xlfn.IMAGE(_xlfn.CONCAT("https://raw.githubusercontent.com/ItsCryp7iC/Genshin-Image-Hosting/main/",AL$1,"/",GemsImg[[#This Row],[Name]],".png"),GemsImg[[#This Row],[Name]])</f>
        <v>#VALUE!</v>
      </c>
      <c r="AM19" s="2" t="str">
        <f>_xlfn.CONCAT(GemsImg[[#This Row],[Column2]],GemsImg[[#This Row],[Column1]])</f>
        <v>VajradaAmethystGemstone</v>
      </c>
      <c r="AN19" s="2" t="s">
        <v>776</v>
      </c>
      <c r="AO19" s="2" t="s">
        <v>56</v>
      </c>
      <c r="AZ19" s="2" t="e" vm="279">
        <f>_xlfn.IMAGE(_xlfn.CONCAT("https://raw.githubusercontent.com/ItsCryp7iC/Genshin-Image-Hosting/main/",AZ$1,"/",WeaponsImg[[#This Row],[Name]],".png"),WeaponsImg[[#This Row],[Name]])</f>
        <v>#VALUE!</v>
      </c>
      <c r="BA19" s="2" t="s">
        <v>265</v>
      </c>
      <c r="BC19" s="2" t="e" vm="280">
        <f>_xlfn.IMAGE(_xlfn.CONCAT("https://raw.githubusercontent.com/ItsCryp7iC/Genshin-Image-Hosting/main/",BC$1,"/",WeaponMaterialsImg[[#This Row],[Name]],".png"),WeaponMaterialsImg[[#This Row],[Name]])</f>
        <v>#VALUE!</v>
      </c>
      <c r="BD19" s="2" t="s">
        <v>266</v>
      </c>
    </row>
    <row r="20" spans="4:56" ht="30" customHeight="1" x14ac:dyDescent="0.25">
      <c r="D20" s="4" t="e" vm="281">
        <f>_xlfn.IMAGE(_xlfn.CONCAT("https://raw.githubusercontent.com/ItsCryp7iC/Genshin-Image-Hosting/main/",D$1,"/",CharacterDetailsImg[[#This Row],[Name]],".png"),CharacterDetailsImg[[#This Row],[Name]])</f>
        <v>#VALUE!</v>
      </c>
      <c r="E20" s="2" t="s">
        <v>267</v>
      </c>
      <c r="F20" s="2" t="e" vm="5">
        <f t="shared" si="0"/>
        <v>#VALUE!</v>
      </c>
      <c r="G20" s="2" t="e" vm="165">
        <f>$AW$9</f>
        <v>#VALUE!</v>
      </c>
      <c r="H20" s="13">
        <v>1</v>
      </c>
      <c r="I20" s="2" t="e" vm="166">
        <f>$P$5</f>
        <v>#VALUE!</v>
      </c>
      <c r="J20" s="2" t="e" vm="282">
        <f>$T$6</f>
        <v>#VALUE!</v>
      </c>
      <c r="K20" s="2" t="e" vm="212">
        <f>$AF$12</f>
        <v>#VALUE!</v>
      </c>
      <c r="L20" s="2" t="e" vm="10">
        <f>$Z$5</f>
        <v>#VALUE!</v>
      </c>
      <c r="M20" s="2" t="e" vm="283">
        <f>$AI$17</f>
        <v>#VALUE!</v>
      </c>
      <c r="N20" s="5" t="e" vm="169">
        <f>IF(OR(
E20="TravelerAnemo",
E20="TravelerGeo",
E20="TravelerElectro",
E20="TravelerDendro",
E20="TravelerHydro",
E20="TravelerPyro",
E20="TravelerCryo"),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0" s="2" t="e" vm="284">
        <f>_xlfn.IMAGE(_xlfn.CONCAT("https://raw.githubusercontent.com/ItsCryp7iC/Genshin-Image-Hosting/main/",P$1,"/",WorldBossImg[[#This Row],[Name]],".png"),WorldBossImg[[#This Row],[Name]])</f>
        <v>#VALUE!</v>
      </c>
      <c r="Q20" s="2" t="s">
        <v>259</v>
      </c>
      <c r="R20" s="2" t="s">
        <v>260</v>
      </c>
      <c r="T20" s="2" t="e" vm="285">
        <f>_xlfn.IMAGE(_xlfn.CONCAT("https://raw.githubusercontent.com/ItsCryp7iC/Genshin-Image-Hosting/main/",T$1,"/",WeeklyBossImg[[#This Row],[Name]],".png"),WeeklyBossImg[[#This Row],[Name]])</f>
        <v>#VALUE!</v>
      </c>
      <c r="U20" s="2" t="s">
        <v>250</v>
      </c>
      <c r="V20" s="2" t="s">
        <v>261</v>
      </c>
      <c r="AF20" s="2" t="e" vm="286">
        <f>_xlfn.IMAGE(_xlfn.CONCAT("https://raw.githubusercontent.com/ItsCryp7iC/Genshin-Image-Hosting/main/",AF$1,"/",TalentBooksImg[[#This Row],[Name]],".png"),TalentBooksImg[[#This Row],[Name]])</f>
        <v>#VALUE!</v>
      </c>
      <c r="AG20" s="2" t="s">
        <v>196</v>
      </c>
      <c r="AI20" s="2" t="e" vm="287">
        <f>_xlfn.IMAGE(_xlfn.CONCAT("https://raw.githubusercontent.com/ItsCryp7iC/Genshin-Image-Hosting/main/",AI$1,"/",LocalSpecialtiesImg[[#This Row],[Name]],".png"),LocalSpecialtiesImg[[#This Row],[Name]])</f>
        <v>#VALUE!</v>
      </c>
      <c r="AJ20" s="2" t="s">
        <v>312</v>
      </c>
      <c r="AL20" s="2" t="e" vm="288">
        <f>_xlfn.IMAGE(_xlfn.CONCAT("https://raw.githubusercontent.com/ItsCryp7iC/Genshin-Image-Hosting/main/",AL$1,"/",GemsImg[[#This Row],[Name]],".png"),GemsImg[[#This Row],[Name]])</f>
        <v>#VALUE!</v>
      </c>
      <c r="AM20" s="2" t="str">
        <f>_xlfn.CONCAT(GemsImg[[#This Row],[Column2]],GemsImg[[#This Row],[Column1]])</f>
        <v>VajradaAmethystChunk</v>
      </c>
      <c r="AN20" s="2" t="s">
        <v>776</v>
      </c>
      <c r="AO20" s="2" t="s">
        <v>55</v>
      </c>
      <c r="AZ20" s="2" t="e" vm="289">
        <f>_xlfn.IMAGE(_xlfn.CONCAT("https://raw.githubusercontent.com/ItsCryp7iC/Genshin-Image-Hosting/main/",AZ$1,"/",WeaponsImg[[#This Row],[Name]],".png"),WeaponsImg[[#This Row],[Name]])</f>
        <v>#VALUE!</v>
      </c>
      <c r="BA20" s="2" t="s">
        <v>274</v>
      </c>
      <c r="BC20" s="2" t="e" vm="290">
        <f>_xlfn.IMAGE(_xlfn.CONCAT("https://raw.githubusercontent.com/ItsCryp7iC/Genshin-Image-Hosting/main/",BC$1,"/",WeaponMaterialsImg[[#This Row],[Name]],".png"),WeaponMaterialsImg[[#This Row],[Name]])</f>
        <v>#VALUE!</v>
      </c>
      <c r="BD20" s="2" t="s">
        <v>275</v>
      </c>
    </row>
    <row r="21" spans="4:56" ht="30" customHeight="1" x14ac:dyDescent="0.25">
      <c r="D21" s="4" t="e" vm="291">
        <f>_xlfn.IMAGE(_xlfn.CONCAT("https://raw.githubusercontent.com/ItsCryp7iC/Genshin-Image-Hosting/main/",D$1,"/",CharacterDetailsImg[[#This Row],[Name]],".png"),CharacterDetailsImg[[#This Row],[Name]])</f>
        <v>#VALUE!</v>
      </c>
      <c r="E21" s="2" t="s">
        <v>276</v>
      </c>
      <c r="F21" s="2" t="e" vm="5">
        <f t="shared" si="0"/>
        <v>#VALUE!</v>
      </c>
      <c r="G21" s="2" t="e" vm="131">
        <f>$AW$3</f>
        <v>#VALUE!</v>
      </c>
      <c r="H21" s="13">
        <v>1</v>
      </c>
      <c r="J21" s="2" t="e" vm="292">
        <f>$T$5</f>
        <v>#VALUE!</v>
      </c>
      <c r="L21" s="2" t="e" vm="10">
        <f>$Z$5</f>
        <v>#VALUE!</v>
      </c>
      <c r="M21" s="2" t="e" vm="55">
        <f>$AI$6</f>
        <v>#VALUE!</v>
      </c>
      <c r="N21" s="5" t="e" vm="293">
        <f>IF(OR(
E21="TravelerAnemo",
E21="TravelerGeo",
E21="TravelerElectro",
E21="TravelerDendro",
E21="TravelerHydro",
E21="TravelerPyro",
E21="TravelerCryo"),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1" s="2" t="e" vm="294">
        <f>_xlfn.IMAGE(_xlfn.CONCAT("https://raw.githubusercontent.com/ItsCryp7iC/Genshin-Image-Hosting/main/",P$1,"/",WorldBossImg[[#This Row],[Name]],".png"),WorldBossImg[[#This Row],[Name]])</f>
        <v>#VALUE!</v>
      </c>
      <c r="Q21" s="2" t="s">
        <v>277</v>
      </c>
      <c r="R21" s="2" t="s">
        <v>278</v>
      </c>
      <c r="T21" s="2" t="e" vm="295">
        <f>_xlfn.IMAGE(_xlfn.CONCAT("https://raw.githubusercontent.com/ItsCryp7iC/Genshin-Image-Hosting/main/",T$1,"/",WeeklyBossImg[[#This Row],[Name]],".png"),WeeklyBossImg[[#This Row],[Name]])</f>
        <v>#VALUE!</v>
      </c>
      <c r="U21" s="2" t="s">
        <v>38</v>
      </c>
      <c r="V21" s="2" t="s">
        <v>279</v>
      </c>
      <c r="AF21" s="2" t="e" vm="296">
        <f>_xlfn.IMAGE(_xlfn.CONCAT("https://raw.githubusercontent.com/ItsCryp7iC/Genshin-Image-Hosting/main/",AF$1,"/",TalentBooksImg[[#This Row],[Name]],".png"),TalentBooksImg[[#This Row],[Name]])</f>
        <v>#VALUE!</v>
      </c>
      <c r="AG21" s="2" t="s">
        <v>300</v>
      </c>
      <c r="AI21" s="2" t="e" vm="297">
        <f>_xlfn.IMAGE(_xlfn.CONCAT("https://raw.githubusercontent.com/ItsCryp7iC/Genshin-Image-Hosting/main/",AI$1,"/",LocalSpecialtiesImg[[#This Row],[Name]],".png"),LocalSpecialtiesImg[[#This Row],[Name]])</f>
        <v>#VALUE!</v>
      </c>
      <c r="AJ21" s="2" t="s">
        <v>377</v>
      </c>
      <c r="AL21" s="2" t="e" vm="298">
        <f>_xlfn.IMAGE(_xlfn.CONCAT("https://raw.githubusercontent.com/ItsCryp7iC/Genshin-Image-Hosting/main/",AL$1,"/",GemsImg[[#This Row],[Name]],".png"),GemsImg[[#This Row],[Name]])</f>
        <v>#VALUE!</v>
      </c>
      <c r="AM21" s="2" t="str">
        <f>_xlfn.CONCAT(GemsImg[[#This Row],[Column2]],GemsImg[[#This Row],[Column1]])</f>
        <v>VajradaAmethystFragment</v>
      </c>
      <c r="AN21" s="2" t="s">
        <v>776</v>
      </c>
      <c r="AO21" s="2" t="s">
        <v>54</v>
      </c>
      <c r="AZ21" s="2" t="e" vm="299">
        <f>_xlfn.IMAGE(_xlfn.CONCAT("https://raw.githubusercontent.com/ItsCryp7iC/Genshin-Image-Hosting/main/",AZ$1,"/",WeaponsImg[[#This Row],[Name]],".png"),WeaponsImg[[#This Row],[Name]])</f>
        <v>#VALUE!</v>
      </c>
      <c r="BA21" s="2" t="s">
        <v>284</v>
      </c>
      <c r="BC21" s="2" t="e" vm="300">
        <f>_xlfn.IMAGE(_xlfn.CONCAT("https://raw.githubusercontent.com/ItsCryp7iC/Genshin-Image-Hosting/main/",BC$1,"/",WeaponMaterialsImg[[#This Row],[Name]],".png"),WeaponMaterialsImg[[#This Row],[Name]])</f>
        <v>#VALUE!</v>
      </c>
      <c r="BD21" s="2" t="s">
        <v>285</v>
      </c>
    </row>
    <row r="22" spans="4:56" ht="30" customHeight="1" x14ac:dyDescent="0.25">
      <c r="D22" s="4" t="e" vm="301">
        <f>_xlfn.IMAGE(_xlfn.CONCAT("https://raw.githubusercontent.com/ItsCryp7iC/Genshin-Image-Hosting/main/",D$1,"/",CharacterDetailsImg[[#This Row],[Name]],".png"),CharacterDetailsImg[[#This Row],[Name]])</f>
        <v>#VALUE!</v>
      </c>
      <c r="E22" s="2" t="s">
        <v>286</v>
      </c>
      <c r="F22" s="2" t="e" vm="5">
        <f t="shared" si="0"/>
        <v>#VALUE!</v>
      </c>
      <c r="G22" s="2" t="e" vm="6">
        <f>$AW$4</f>
        <v>#VALUE!</v>
      </c>
      <c r="H22" s="13">
        <v>1.1000000000000001</v>
      </c>
      <c r="J22" s="2" t="e" vm="282">
        <f>$T$6</f>
        <v>#VALUE!</v>
      </c>
      <c r="L22" s="2" t="e" vm="302">
        <f>$Z$6</f>
        <v>#VALUE!</v>
      </c>
      <c r="M22" s="2" t="e" vm="55">
        <f>$AI$6</f>
        <v>#VALUE!</v>
      </c>
      <c r="N22" s="5" t="e" vm="293">
        <f>IF(OR(
E22="TravelerAnemo",
E22="TravelerGeo",
E22="TravelerElectro",
E22="TravelerDendro",
E22="TravelerHydro",
E22="TravelerPyro",
E22="TravelerCryo"),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2" s="2" t="e" vm="303">
        <f>_xlfn.IMAGE(_xlfn.CONCAT("https://raw.githubusercontent.com/ItsCryp7iC/Genshin-Image-Hosting/main/",P$1,"/",WorldBossImg[[#This Row],[Name]],".png"),WorldBossImg[[#This Row],[Name]])</f>
        <v>#VALUE!</v>
      </c>
      <c r="Q22" s="2" t="s">
        <v>287</v>
      </c>
      <c r="R22" s="2" t="s">
        <v>288</v>
      </c>
      <c r="T22" s="2" t="e" vm="304">
        <f>_xlfn.IMAGE(_xlfn.CONCAT("https://raw.githubusercontent.com/ItsCryp7iC/Genshin-Image-Hosting/main/",T$1,"/",WeeklyBossImg[[#This Row],[Name]],".png"),WeeklyBossImg[[#This Row],[Name]])</f>
        <v>#VALUE!</v>
      </c>
      <c r="U22" s="2" t="s">
        <v>38</v>
      </c>
      <c r="V22" s="2" t="s">
        <v>298</v>
      </c>
      <c r="AF22" s="2" t="e" vm="305">
        <f>_xlfn.IMAGE(_xlfn.CONCAT("https://raw.githubusercontent.com/ItsCryp7iC/Genshin-Image-Hosting/main/",AF$1,"/",TalentBooksImg[[#This Row],[Name]],".png"),TalentBooksImg[[#This Row],[Name]])</f>
        <v>#VALUE!</v>
      </c>
      <c r="AG22" s="2" t="s">
        <v>291</v>
      </c>
      <c r="AI22" s="2" t="e" vm="306">
        <f>_xlfn.IMAGE(_xlfn.CONCAT("https://raw.githubusercontent.com/ItsCryp7iC/Genshin-Image-Hosting/main/",AI$1,"/",LocalSpecialtiesImg[[#This Row],[Name]],".png"),LocalSpecialtiesImg[[#This Row],[Name]])</f>
        <v>#VALUE!</v>
      </c>
      <c r="AJ22" s="2" t="s">
        <v>166</v>
      </c>
      <c r="AL22" s="2" t="e" vm="307">
        <f>_xlfn.IMAGE(_xlfn.CONCAT("https://raw.githubusercontent.com/ItsCryp7iC/Genshin-Image-Hosting/main/",AL$1,"/",GemsImg[[#This Row],[Name]],".png"),GemsImg[[#This Row],[Name]])</f>
        <v>#VALUE!</v>
      </c>
      <c r="AM22" s="2" t="str">
        <f>_xlfn.CONCAT(GemsImg[[#This Row],[Column2]],GemsImg[[#This Row],[Column1]])</f>
        <v>VajradaAmethystSilver</v>
      </c>
      <c r="AN22" s="2" t="s">
        <v>776</v>
      </c>
      <c r="AO22" s="2" t="s">
        <v>53</v>
      </c>
      <c r="AZ22" s="2" t="e" vm="308">
        <f>_xlfn.IMAGE(_xlfn.CONCAT("https://raw.githubusercontent.com/ItsCryp7iC/Genshin-Image-Hosting/main/",AZ$1,"/",WeaponsImg[[#This Row],[Name]],".png"),WeaponsImg[[#This Row],[Name]])</f>
        <v>#VALUE!</v>
      </c>
      <c r="BA22" s="2" t="s">
        <v>293</v>
      </c>
      <c r="BC22" s="2" t="e" vm="309">
        <f>_xlfn.IMAGE(_xlfn.CONCAT("https://raw.githubusercontent.com/ItsCryp7iC/Genshin-Image-Hosting/main/",BC$1,"/",WeaponMaterialsImg[[#This Row],[Name]],".png"),WeaponMaterialsImg[[#This Row],[Name]])</f>
        <v>#VALUE!</v>
      </c>
      <c r="BD22" s="2" t="s">
        <v>294</v>
      </c>
    </row>
    <row r="23" spans="4:56" ht="30" customHeight="1" x14ac:dyDescent="0.25">
      <c r="D23" s="4" t="e" vm="310">
        <f>_xlfn.IMAGE(_xlfn.CONCAT("https://raw.githubusercontent.com/ItsCryp7iC/Genshin-Image-Hosting/main/",D$1,"/",CharacterDetailsImg[[#This Row],[Name]],".png"),CharacterDetailsImg[[#This Row],[Name]])</f>
        <v>#VALUE!</v>
      </c>
      <c r="E23" s="2" t="s">
        <v>295</v>
      </c>
      <c r="F23" s="2" t="e" vm="5">
        <f t="shared" si="0"/>
        <v>#VALUE!</v>
      </c>
      <c r="G23" s="2" t="e" vm="91">
        <f>$AW$5</f>
        <v>#VALUE!</v>
      </c>
      <c r="H23" s="13">
        <v>2</v>
      </c>
      <c r="J23" s="2" t="e" vm="311">
        <f>$T$12</f>
        <v>#VALUE!</v>
      </c>
      <c r="L23" s="2" t="e" vm="184">
        <f>$Z$10</f>
        <v>#VALUE!</v>
      </c>
      <c r="M23" s="2" t="e" vm="55">
        <f>$AI$6</f>
        <v>#VALUE!</v>
      </c>
      <c r="N23" s="5" t="e" vm="293">
        <f>IF(OR(
E23="TravelerAnemo",
E23="TravelerGeo",
E23="TravelerElectro",
E23="TravelerDendro",
E23="TravelerHydro",
E23="TravelerPyro",
E23="TravelerCryo"),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3" s="2" t="e" vm="312">
        <f>_xlfn.IMAGE(_xlfn.CONCAT("https://raw.githubusercontent.com/ItsCryp7iC/Genshin-Image-Hosting/main/",P$1,"/",WorldBossImg[[#This Row],[Name]],".png"),WorldBossImg[[#This Row],[Name]])</f>
        <v>#VALUE!</v>
      </c>
      <c r="Q23" s="2" t="s">
        <v>296</v>
      </c>
      <c r="R23" s="2" t="s">
        <v>297</v>
      </c>
      <c r="T23" s="2" t="e" vm="313">
        <f>_xlfn.IMAGE(_xlfn.CONCAT("https://raw.githubusercontent.com/ItsCryp7iC/Genshin-Image-Hosting/main/",T$1,"/",WeeklyBossImg[[#This Row],[Name]],".png"),WeeklyBossImg[[#This Row],[Name]])</f>
        <v>#VALUE!</v>
      </c>
      <c r="U23" s="2" t="s">
        <v>38</v>
      </c>
      <c r="V23" s="2" t="s">
        <v>289</v>
      </c>
      <c r="AF23" s="2" t="e" vm="314">
        <f>_xlfn.IMAGE(_xlfn.CONCAT("https://raw.githubusercontent.com/ItsCryp7iC/Genshin-Image-Hosting/main/",AF$1,"/",TalentBooksImg[[#This Row],[Name]],".png"),TalentBooksImg[[#This Row],[Name]])</f>
        <v>#VALUE!</v>
      </c>
      <c r="AG23" s="2" t="s">
        <v>282</v>
      </c>
      <c r="AI23" s="2" t="e" vm="315">
        <f>_xlfn.IMAGE(_xlfn.CONCAT("https://raw.githubusercontent.com/ItsCryp7iC/Genshin-Image-Hosting/main/",AI$1,"/",LocalSpecialtiesImg[[#This Row],[Name]],".png"),LocalSpecialtiesImg[[#This Row],[Name]])</f>
        <v>#VALUE!</v>
      </c>
      <c r="AJ23" s="2" t="s">
        <v>186</v>
      </c>
      <c r="AL23" s="2" t="e" vm="316">
        <f>_xlfn.IMAGE(_xlfn.CONCAT("https://raw.githubusercontent.com/ItsCryp7iC/Genshin-Image-Hosting/main/",AL$1,"/",GemsImg[[#This Row],[Name]],".png"),GemsImg[[#This Row],[Name]])</f>
        <v>#VALUE!</v>
      </c>
      <c r="AM23" s="2" t="str">
        <f>_xlfn.CONCAT(GemsImg[[#This Row],[Column2]],GemsImg[[#This Row],[Column1]])</f>
        <v>VayudaTurquoiseGemstone</v>
      </c>
      <c r="AN23" s="2" t="s">
        <v>777</v>
      </c>
      <c r="AO23" s="2" t="s">
        <v>56</v>
      </c>
      <c r="AZ23" s="2" t="e" vm="317">
        <f>_xlfn.IMAGE(_xlfn.CONCAT("https://raw.githubusercontent.com/ItsCryp7iC/Genshin-Image-Hosting/main/",AZ$1,"/",WeaponsImg[[#This Row],[Name]],".png"),WeaponsImg[[#This Row],[Name]])</f>
        <v>#VALUE!</v>
      </c>
      <c r="BA23" s="2" t="s">
        <v>302</v>
      </c>
      <c r="BC23" s="2" t="e" vm="318">
        <f>_xlfn.IMAGE(_xlfn.CONCAT("https://raw.githubusercontent.com/ItsCryp7iC/Genshin-Image-Hosting/main/",BC$1,"/",WeaponMaterialsImg[[#This Row],[Name]],".png"),WeaponMaterialsImg[[#This Row],[Name]])</f>
        <v>#VALUE!</v>
      </c>
      <c r="BD23" s="2" t="s">
        <v>303</v>
      </c>
    </row>
    <row r="24" spans="4:56" ht="30" customHeight="1" x14ac:dyDescent="0.25">
      <c r="D24" s="4" t="e" vm="319">
        <f>_xlfn.IMAGE(_xlfn.CONCAT("https://raw.githubusercontent.com/ItsCryp7iC/Genshin-Image-Hosting/main/",D$1,"/",CharacterDetailsImg[[#This Row],[Name]],".png"),CharacterDetailsImg[[#This Row],[Name]])</f>
        <v>#VALUE!</v>
      </c>
      <c r="E24" s="2" t="s">
        <v>304</v>
      </c>
      <c r="F24" s="2" t="e" vm="5">
        <f t="shared" si="0"/>
        <v>#VALUE!</v>
      </c>
      <c r="G24" s="2" t="e" vm="28">
        <f>$AW$6</f>
        <v>#VALUE!</v>
      </c>
      <c r="H24" s="13">
        <v>3</v>
      </c>
      <c r="J24" s="2" t="e" vm="198">
        <f>$T$18</f>
        <v>#VALUE!</v>
      </c>
      <c r="L24" s="2" t="e" vm="272">
        <f>$Z$12</f>
        <v>#VALUE!</v>
      </c>
      <c r="M24" s="2" t="e" vm="55">
        <f>$AI$6</f>
        <v>#VALUE!</v>
      </c>
      <c r="N24" s="5" t="e" vm="293">
        <f>IF(OR(
E24="TravelerAnemo",
E24="TravelerGeo",
E24="TravelerElectro",
E24="TravelerDendro",
E24="TravelerHydro",
E24="TravelerPyro",
E24="TravelerCryo"),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4" s="2" t="e" vm="320">
        <f>_xlfn.IMAGE(_xlfn.CONCAT("https://raw.githubusercontent.com/ItsCryp7iC/Genshin-Image-Hosting/main/",P$1,"/",WorldBossImg[[#This Row],[Name]],".png"),WorldBossImg[[#This Row],[Name]])</f>
        <v>#VALUE!</v>
      </c>
      <c r="Q24" s="2" t="s">
        <v>305</v>
      </c>
      <c r="R24" s="2" t="s">
        <v>306</v>
      </c>
      <c r="T24" s="2" t="e" vm="321">
        <f>_xlfn.IMAGE(_xlfn.CONCAT("https://raw.githubusercontent.com/ItsCryp7iC/Genshin-Image-Hosting/main/",T$1,"/",WeeklyBossImg[[#This Row],[Name]],".png"),WeeklyBossImg[[#This Row],[Name]])</f>
        <v>#VALUE!</v>
      </c>
      <c r="U24" s="2" t="s">
        <v>307</v>
      </c>
      <c r="V24" s="2" t="s">
        <v>326</v>
      </c>
      <c r="AF24" s="2" t="e" vm="322">
        <f>_xlfn.IMAGE(_xlfn.CONCAT("https://raw.githubusercontent.com/ItsCryp7iC/Genshin-Image-Hosting/main/",AF$1,"/",TalentBooksImg[[#This Row],[Name]],".png"),TalentBooksImg[[#This Row],[Name]])</f>
        <v>#VALUE!</v>
      </c>
      <c r="AG24" s="19" t="s">
        <v>356</v>
      </c>
      <c r="AI24" s="2" t="e" vm="323">
        <f>_xlfn.IMAGE(_xlfn.CONCAT("https://raw.githubusercontent.com/ItsCryp7iC/Genshin-Image-Hosting/main/",AI$1,"/",LocalSpecialtiesImg[[#This Row],[Name]],".png"),LocalSpecialtiesImg[[#This Row],[Name]])</f>
        <v>#VALUE!</v>
      </c>
      <c r="AJ24" s="2" t="s">
        <v>283</v>
      </c>
      <c r="AL24" s="2" t="e" vm="324">
        <f>_xlfn.IMAGE(_xlfn.CONCAT("https://raw.githubusercontent.com/ItsCryp7iC/Genshin-Image-Hosting/main/",AL$1,"/",GemsImg[[#This Row],[Name]],".png"),GemsImg[[#This Row],[Name]])</f>
        <v>#VALUE!</v>
      </c>
      <c r="AM24" s="2" t="str">
        <f>_xlfn.CONCAT(GemsImg[[#This Row],[Column2]],GemsImg[[#This Row],[Column1]])</f>
        <v>VayudaTurquoiseChunk</v>
      </c>
      <c r="AN24" s="2" t="s">
        <v>777</v>
      </c>
      <c r="AO24" s="2" t="s">
        <v>55</v>
      </c>
      <c r="AZ24" s="2" t="e" vm="325">
        <f>_xlfn.IMAGE(_xlfn.CONCAT("https://raw.githubusercontent.com/ItsCryp7iC/Genshin-Image-Hosting/main/",AZ$1,"/",WeaponsImg[[#This Row],[Name]],".png"),WeaponsImg[[#This Row],[Name]])</f>
        <v>#VALUE!</v>
      </c>
      <c r="BA24" s="2" t="s">
        <v>313</v>
      </c>
      <c r="BC24" s="2" t="e" vm="326">
        <f>_xlfn.IMAGE(_xlfn.CONCAT("https://raw.githubusercontent.com/ItsCryp7iC/Genshin-Image-Hosting/main/",BC$1,"/",WeaponMaterialsImg[[#This Row],[Name]],".png"),WeaponMaterialsImg[[#This Row],[Name]])</f>
        <v>#VALUE!</v>
      </c>
      <c r="BD24" s="2" t="s">
        <v>314</v>
      </c>
    </row>
    <row r="25" spans="4:56" ht="30" customHeight="1" x14ac:dyDescent="0.25">
      <c r="D25" s="4" t="e" vm="327">
        <f>_xlfn.IMAGE(_xlfn.CONCAT("https://raw.githubusercontent.com/ItsCryp7iC/Genshin-Image-Hosting/main/",D$1,"/",CharacterDetailsImg[[#This Row],[Name]],".png"),CharacterDetailsImg[[#This Row],[Name]])</f>
        <v>#VALUE!</v>
      </c>
      <c r="E25" s="2" t="s">
        <v>315</v>
      </c>
      <c r="F25" s="2" t="e" vm="5">
        <f t="shared" si="0"/>
        <v>#VALUE!</v>
      </c>
      <c r="G25" s="2" t="e" vm="112">
        <f>$AW$7</f>
        <v>#VALUE!</v>
      </c>
      <c r="H25" s="13">
        <v>4</v>
      </c>
      <c r="J25" s="2" t="e" vm="328">
        <f>$T$24</f>
        <v>#VALUE!</v>
      </c>
      <c r="L25" s="2" t="e" vm="95">
        <f>$Z$14</f>
        <v>#VALUE!</v>
      </c>
      <c r="M25" s="2" t="e" vm="55">
        <f>$AI$6</f>
        <v>#VALUE!</v>
      </c>
      <c r="N25" s="5" t="e" vm="293">
        <f>IF(OR(
E25="TravelerAnemo",
E25="TravelerGeo",
E25="TravelerElectro",
E25="TravelerDendro",
E25="TravelerHydro",
E25="TravelerPyro",
E25="TravelerCryo"),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5" s="2" t="e" vm="329">
        <f>_xlfn.IMAGE(_xlfn.CONCAT("https://raw.githubusercontent.com/ItsCryp7iC/Genshin-Image-Hosting/main/",P$1,"/",WorldBossImg[[#This Row],[Name]],".png"),WorldBossImg[[#This Row],[Name]])</f>
        <v>#VALUE!</v>
      </c>
      <c r="Q25" s="2" t="s">
        <v>316</v>
      </c>
      <c r="R25" s="2" t="s">
        <v>317</v>
      </c>
      <c r="T25" s="2" t="e" vm="330">
        <f>_xlfn.IMAGE(_xlfn.CONCAT("https://raw.githubusercontent.com/ItsCryp7iC/Genshin-Image-Hosting/main/",T$1,"/",WeeklyBossImg[[#This Row],[Name]],".png"),WeeklyBossImg[[#This Row],[Name]])</f>
        <v>#VALUE!</v>
      </c>
      <c r="U25" s="2" t="s">
        <v>307</v>
      </c>
      <c r="V25" s="2" t="s">
        <v>308</v>
      </c>
      <c r="AF25" s="2" t="e" vm="331">
        <f>_xlfn.IMAGE(_xlfn.CONCAT("https://raw.githubusercontent.com/ItsCryp7iC/Genshin-Image-Hosting/main/",AF$1,"/",TalentBooksImg[[#This Row],[Name]],".png"),TalentBooksImg[[#This Row],[Name]])</f>
        <v>#VALUE!</v>
      </c>
      <c r="AG25" s="2" t="s">
        <v>347</v>
      </c>
      <c r="AI25" s="2" t="e" vm="332">
        <f>_xlfn.IMAGE(_xlfn.CONCAT("https://raw.githubusercontent.com/ItsCryp7iC/Genshin-Image-Hosting/main/",AI$1,"/",LocalSpecialtiesImg[[#This Row],[Name]],".png"),LocalSpecialtiesImg[[#This Row],[Name]])</f>
        <v>#VALUE!</v>
      </c>
      <c r="AJ25" s="2" t="s">
        <v>405</v>
      </c>
      <c r="AL25" s="2" t="e" vm="333">
        <f>_xlfn.IMAGE(_xlfn.CONCAT("https://raw.githubusercontent.com/ItsCryp7iC/Genshin-Image-Hosting/main/",AL$1,"/",GemsImg[[#This Row],[Name]],".png"),GemsImg[[#This Row],[Name]])</f>
        <v>#VALUE!</v>
      </c>
      <c r="AM25" s="2" t="str">
        <f>_xlfn.CONCAT(GemsImg[[#This Row],[Column2]],GemsImg[[#This Row],[Column1]])</f>
        <v>VayudaTurquoiseFragment</v>
      </c>
      <c r="AN25" s="2" t="s">
        <v>777</v>
      </c>
      <c r="AO25" s="2" t="s">
        <v>54</v>
      </c>
      <c r="AZ25" s="2" t="e" vm="334">
        <f>_xlfn.IMAGE(_xlfn.CONCAT("https://raw.githubusercontent.com/ItsCryp7iC/Genshin-Image-Hosting/main/",AZ$1,"/",WeaponsImg[[#This Row],[Name]],".png"),WeaponsImg[[#This Row],[Name]])</f>
        <v>#VALUE!</v>
      </c>
      <c r="BA25" s="2" t="s">
        <v>322</v>
      </c>
      <c r="BC25" s="2" t="e" vm="335">
        <f>_xlfn.IMAGE(_xlfn.CONCAT("https://raw.githubusercontent.com/ItsCryp7iC/Genshin-Image-Hosting/main/",BC$1,"/",WeaponMaterialsImg[[#This Row],[Name]],".png"),WeaponMaterialsImg[[#This Row],[Name]])</f>
        <v>#VALUE!</v>
      </c>
      <c r="BD25" s="2" t="s">
        <v>323</v>
      </c>
    </row>
    <row r="26" spans="4:56" ht="30" customHeight="1" x14ac:dyDescent="0.25">
      <c r="D26" s="4" t="e" vm="336">
        <f>_xlfn.IMAGE(_xlfn.CONCAT("https://raw.githubusercontent.com/ItsCryp7iC/Genshin-Image-Hosting/main/",D$1,"/",CharacterDetailsImg[[#This Row],[Name]],".png"),CharacterDetailsImg[[#This Row],[Name]])</f>
        <v>#VALUE!</v>
      </c>
      <c r="E26" s="2" t="s">
        <v>342</v>
      </c>
      <c r="F26" s="2" t="e" vm="5">
        <f t="shared" si="0"/>
        <v>#VALUE!</v>
      </c>
      <c r="G26" s="2" t="e" vm="112">
        <f>$AW$7</f>
        <v>#VALUE!</v>
      </c>
      <c r="H26" s="13">
        <v>1</v>
      </c>
      <c r="I26" s="2" t="e" vm="337">
        <f>$P$7</f>
        <v>#VALUE!</v>
      </c>
      <c r="J26" s="2" t="e" vm="282">
        <f>$T$6</f>
        <v>#VALUE!</v>
      </c>
      <c r="K26" s="2" t="e" vm="338">
        <f>$AF$18</f>
        <v>#VALUE!</v>
      </c>
      <c r="L26" s="2" t="e" vm="133">
        <f>$Z$4</f>
        <v>#VALUE!</v>
      </c>
      <c r="M26" s="2" t="e" vm="339">
        <f>$AI$13</f>
        <v>#VALUE!</v>
      </c>
      <c r="N26" s="5" t="e" vm="117">
        <f>IF(OR(
E26="TravelerAnemo",
E26="TravelerGeo",
E26="TravelerElectro",
E26="TravelerDendro",
E26="TravelerHydro",
E26="TravelerPyro",
E26="TravelerCryo"),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6" s="2" t="e" vm="340">
        <f>_xlfn.IMAGE(_xlfn.CONCAT("https://raw.githubusercontent.com/ItsCryp7iC/Genshin-Image-Hosting/main/",P$1,"/",WorldBossImg[[#This Row],[Name]],".png"),WorldBossImg[[#This Row],[Name]])</f>
        <v>#VALUE!</v>
      </c>
      <c r="Q26" s="2" t="s">
        <v>324</v>
      </c>
      <c r="R26" s="2" t="s">
        <v>325</v>
      </c>
      <c r="T26" s="2" t="e" vm="341">
        <f>_xlfn.IMAGE(_xlfn.CONCAT("https://raw.githubusercontent.com/ItsCryp7iC/Genshin-Image-Hosting/main/",T$1,"/",WeeklyBossImg[[#This Row],[Name]],".png"),WeeklyBossImg[[#This Row],[Name]])</f>
        <v>#VALUE!</v>
      </c>
      <c r="U26" s="2" t="s">
        <v>307</v>
      </c>
      <c r="V26" s="2" t="s">
        <v>318</v>
      </c>
      <c r="AF26" s="2" t="e" vm="342">
        <f>_xlfn.IMAGE(_xlfn.CONCAT("https://raw.githubusercontent.com/ItsCryp7iC/Genshin-Image-Hosting/main/",AF$1,"/",TalentBooksImg[[#This Row],[Name]],".png"),TalentBooksImg[[#This Row],[Name]])</f>
        <v>#VALUE!</v>
      </c>
      <c r="AG26" s="19" t="s">
        <v>338</v>
      </c>
      <c r="AI26" s="2" t="e" vm="343">
        <f>_xlfn.IMAGE(_xlfn.CONCAT("https://raw.githubusercontent.com/ItsCryp7iC/Genshin-Image-Hosting/main/",AI$1,"/",LocalSpecialtiesImg[[#This Row],[Name]],".png"),LocalSpecialtiesImg[[#This Row],[Name]])</f>
        <v>#VALUE!</v>
      </c>
      <c r="AJ26" s="2" t="s">
        <v>393</v>
      </c>
      <c r="AL26" s="2" t="e" vm="344">
        <f>_xlfn.IMAGE(_xlfn.CONCAT("https://raw.githubusercontent.com/ItsCryp7iC/Genshin-Image-Hosting/main/",AL$1,"/",GemsImg[[#This Row],[Name]],".png"),GemsImg[[#This Row],[Name]])</f>
        <v>#VALUE!</v>
      </c>
      <c r="AM26" s="2" t="str">
        <f>_xlfn.CONCAT(GemsImg[[#This Row],[Column2]],GemsImg[[#This Row],[Column1]])</f>
        <v>VayudaTurquoiseSilver</v>
      </c>
      <c r="AN26" s="2" t="s">
        <v>777</v>
      </c>
      <c r="AO26" s="2" t="s">
        <v>53</v>
      </c>
      <c r="AZ26" s="2" t="e" vm="345">
        <f>_xlfn.IMAGE(_xlfn.CONCAT("https://raw.githubusercontent.com/ItsCryp7iC/Genshin-Image-Hosting/main/",AZ$1,"/",WeaponsImg[[#This Row],[Name]],".png"),WeaponsImg[[#This Row],[Name]])</f>
        <v>#VALUE!</v>
      </c>
      <c r="BA26" s="2" t="s">
        <v>330</v>
      </c>
      <c r="BC26" s="2" t="e" vm="346">
        <f>_xlfn.IMAGE(_xlfn.CONCAT("https://raw.githubusercontent.com/ItsCryp7iC/Genshin-Image-Hosting/main/",BC$1,"/",WeaponMaterialsImg[[#This Row],[Name]],".png"),WeaponMaterialsImg[[#This Row],[Name]])</f>
        <v>#VALUE!</v>
      </c>
      <c r="BD26" s="2" t="s">
        <v>331</v>
      </c>
    </row>
    <row r="27" spans="4:56" ht="30" customHeight="1" x14ac:dyDescent="0.25">
      <c r="D27" s="4" t="e" vm="347">
        <f>_xlfn.IMAGE(_xlfn.CONCAT("https://raw.githubusercontent.com/ItsCryp7iC/Genshin-Image-Hosting/main/",D$1,"/",CharacterDetailsImg[[#This Row],[Name]],".png"),CharacterDetailsImg[[#This Row],[Name]])</f>
        <v>#VALUE!</v>
      </c>
      <c r="E27" s="2" t="s">
        <v>351</v>
      </c>
      <c r="F27" s="2" t="e" vm="348">
        <f t="shared" ref="F27:F42" si="1">$AT$6</f>
        <v>#VALUE!</v>
      </c>
      <c r="G27" s="2" t="e" vm="165">
        <f>$AW$9</f>
        <v>#VALUE!</v>
      </c>
      <c r="H27" s="13">
        <v>2.1</v>
      </c>
      <c r="I27" s="2" t="e" vm="349">
        <f>$P$10</f>
        <v>#VALUE!</v>
      </c>
      <c r="J27" s="2" t="e" vm="350">
        <f>$T$15</f>
        <v>#VALUE!</v>
      </c>
      <c r="K27" s="2" t="e" vm="351">
        <f>$AF$3</f>
        <v>#VALUE!</v>
      </c>
      <c r="L27" s="2" t="e" vm="75">
        <f>$Z$11</f>
        <v>#VALUE!</v>
      </c>
      <c r="M27" s="2" t="e" vm="352">
        <f>$AI$22</f>
        <v>#VALUE!</v>
      </c>
      <c r="N27" s="5" t="e" vm="169">
        <f>IF(OR(
E27="TravelerAnemo",
E27="TravelerGeo",
E27="TravelerElectro",
E27="TravelerDendro",
E27="TravelerHydro",
E27="TravelerPyro",
E27="TravelerCryo"),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7" s="2" t="e" vm="353">
        <f>_xlfn.IMAGE(_xlfn.CONCAT("https://raw.githubusercontent.com/ItsCryp7iC/Genshin-Image-Hosting/main/",P$1,"/",WorldBossImg[[#This Row],[Name]],".png"),WorldBossImg[[#This Row],[Name]])</f>
        <v>#VALUE!</v>
      </c>
      <c r="Q27" s="2" t="s">
        <v>332</v>
      </c>
      <c r="R27" s="2" t="s">
        <v>333</v>
      </c>
      <c r="T27" s="2" t="e" vm="354">
        <f>_xlfn.IMAGE(_xlfn.CONCAT("https://raw.githubusercontent.com/ItsCryp7iC/Genshin-Image-Hosting/main/",T$1,"/",WeeklyBossImg[[#This Row],[Name]],".png"),WeeklyBossImg[[#This Row],[Name]])</f>
        <v>#VALUE!</v>
      </c>
      <c r="U27" s="2" t="s">
        <v>334</v>
      </c>
      <c r="V27" s="2" t="s">
        <v>335</v>
      </c>
      <c r="AF27" s="2" t="e" vm="355">
        <f>_xlfn.IMAGE(_xlfn.CONCAT("https://raw.githubusercontent.com/ItsCryp7iC/Genshin-Image-Hosting/main/",AF$1,"/",TalentBooksImg[[#This Row],[Name]],".png"),TalentBooksImg[[#This Row],[Name]])</f>
        <v>#VALUE!</v>
      </c>
      <c r="AG27" s="2" t="s">
        <v>328</v>
      </c>
      <c r="AI27" s="2" t="e" vm="356">
        <f>_xlfn.IMAGE(_xlfn.CONCAT("https://raw.githubusercontent.com/ItsCryp7iC/Genshin-Image-Hosting/main/",AI$1,"/",LocalSpecialtiesImg[[#This Row],[Name]],".png"),LocalSpecialtiesImg[[#This Row],[Name]])</f>
        <v>#VALUE!</v>
      </c>
      <c r="AJ27" s="2" t="s">
        <v>89</v>
      </c>
      <c r="AL27" s="2" t="e" vm="357">
        <f>_xlfn.IMAGE(_xlfn.CONCAT("https://raw.githubusercontent.com/ItsCryp7iC/Genshin-Image-Hosting/main/",AL$1,"/",GemsImg[[#This Row],[Name]],".png"),GemsImg[[#This Row],[Name]])</f>
        <v>#VALUE!</v>
      </c>
      <c r="AM27" s="2" t="str">
        <f>_xlfn.CONCAT(GemsImg[[#This Row],[Column2]],GemsImg[[#This Row],[Column1]])</f>
        <v>ShivadaJadeGemstone</v>
      </c>
      <c r="AN27" s="2" t="s">
        <v>778</v>
      </c>
      <c r="AO27" s="2" t="s">
        <v>56</v>
      </c>
      <c r="AZ27" s="2" t="e" vm="358">
        <f>_xlfn.IMAGE(_xlfn.CONCAT("https://raw.githubusercontent.com/ItsCryp7iC/Genshin-Image-Hosting/main/",AZ$1,"/",WeaponsImg[[#This Row],[Name]],".png"),WeaponsImg[[#This Row],[Name]])</f>
        <v>#VALUE!</v>
      </c>
      <c r="BA27" s="2" t="s">
        <v>340</v>
      </c>
      <c r="BC27" s="2" t="e" vm="359">
        <f>_xlfn.IMAGE(_xlfn.CONCAT("https://raw.githubusercontent.com/ItsCryp7iC/Genshin-Image-Hosting/main/",BC$1,"/",WeaponMaterialsImg[[#This Row],[Name]],".png"),WeaponMaterialsImg[[#This Row],[Name]])</f>
        <v>#VALUE!</v>
      </c>
      <c r="BD27" s="2" t="s">
        <v>341</v>
      </c>
    </row>
    <row r="28" spans="4:56" ht="30" customHeight="1" x14ac:dyDescent="0.25">
      <c r="D28" s="4" t="e" vm="360">
        <f>_xlfn.IMAGE(_xlfn.CONCAT("https://raw.githubusercontent.com/ItsCryp7iC/Genshin-Image-Hosting/main/",D$1,"/",CharacterDetailsImg[[#This Row],[Name]],".png"),CharacterDetailsImg[[#This Row],[Name]])</f>
        <v>#VALUE!</v>
      </c>
      <c r="E28" s="2" t="s">
        <v>360</v>
      </c>
      <c r="F28" s="2" t="e" vm="348">
        <f t="shared" si="1"/>
        <v>#VALUE!</v>
      </c>
      <c r="G28" s="2" t="e" vm="50">
        <f>$AW$8</f>
        <v>#VALUE!</v>
      </c>
      <c r="H28" s="13">
        <v>1</v>
      </c>
      <c r="I28" s="2" t="e" vm="51">
        <f>$P$6</f>
        <v>#VALUE!</v>
      </c>
      <c r="J28" s="2" t="e" vm="292">
        <f>$T$5</f>
        <v>#VALUE!</v>
      </c>
      <c r="K28" s="2" t="e" vm="351">
        <f>$AF$3</f>
        <v>#VALUE!</v>
      </c>
      <c r="L28" s="2" t="e" vm="302">
        <f>$Z$6</f>
        <v>#VALUE!</v>
      </c>
      <c r="M28" s="2" t="e" vm="361">
        <f>$AI$8</f>
        <v>#VALUE!</v>
      </c>
      <c r="N28" s="5" t="e" vm="56">
        <f>IF(OR(
E28="TravelerAnemo",
E28="TravelerGeo",
E28="TravelerElectro",
E28="TravelerDendro",
E28="TravelerHydro",
E28="TravelerPyro",
E28="TravelerCryo"),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8" s="2" t="e" vm="362">
        <f>_xlfn.IMAGE(_xlfn.CONCAT("https://raw.githubusercontent.com/ItsCryp7iC/Genshin-Image-Hosting/main/",P$1,"/",WorldBossImg[[#This Row],[Name]],".png"),WorldBossImg[[#This Row],[Name]])</f>
        <v>#VALUE!</v>
      </c>
      <c r="Q28" s="2" t="s">
        <v>343</v>
      </c>
      <c r="R28" s="2" t="s">
        <v>344</v>
      </c>
      <c r="T28" s="2" t="e" vm="363">
        <f>_xlfn.IMAGE(_xlfn.CONCAT("https://raw.githubusercontent.com/ItsCryp7iC/Genshin-Image-Hosting/main/",T$1,"/",WeeklyBossImg[[#This Row],[Name]],".png"),WeeklyBossImg[[#This Row],[Name]])</f>
        <v>#VALUE!</v>
      </c>
      <c r="U28" s="2" t="s">
        <v>334</v>
      </c>
      <c r="V28" s="2" t="s">
        <v>345</v>
      </c>
      <c r="AF28" s="2" t="e" vm="364">
        <f>_xlfn.IMAGE(_xlfn.CONCAT("https://raw.githubusercontent.com/ItsCryp7iC/Genshin-Image-Hosting/main/",AF$1,"/",TalentBooksImg[[#This Row],[Name]],".png"),TalentBooksImg[[#This Row],[Name]])</f>
        <v>#VALUE!</v>
      </c>
      <c r="AG28" s="2" t="s">
        <v>320</v>
      </c>
      <c r="AI28" s="2" t="e" vm="365">
        <f>_xlfn.IMAGE(_xlfn.CONCAT("https://raw.githubusercontent.com/ItsCryp7iC/Genshin-Image-Hosting/main/",AI$1,"/",LocalSpecialtiesImg[[#This Row],[Name]],".png"),LocalSpecialtiesImg[[#This Row],[Name]])</f>
        <v>#VALUE!</v>
      </c>
      <c r="AJ28" s="2" t="s">
        <v>197</v>
      </c>
      <c r="AL28" s="2" t="e" vm="366">
        <f>_xlfn.IMAGE(_xlfn.CONCAT("https://raw.githubusercontent.com/ItsCryp7iC/Genshin-Image-Hosting/main/",AL$1,"/",GemsImg[[#This Row],[Name]],".png"),GemsImg[[#This Row],[Name]])</f>
        <v>#VALUE!</v>
      </c>
      <c r="AM28" s="2" t="str">
        <f>_xlfn.CONCAT(GemsImg[[#This Row],[Column2]],GemsImg[[#This Row],[Column1]])</f>
        <v>ShivadaJadeChunk</v>
      </c>
      <c r="AN28" s="2" t="s">
        <v>778</v>
      </c>
      <c r="AO28" s="2" t="s">
        <v>55</v>
      </c>
      <c r="AZ28" s="2" t="e" vm="367">
        <f>_xlfn.IMAGE(_xlfn.CONCAT("https://raw.githubusercontent.com/ItsCryp7iC/Genshin-Image-Hosting/main/",AZ$1,"/",WeaponsImg[[#This Row],[Name]],".png"),WeaponsImg[[#This Row],[Name]])</f>
        <v>#VALUE!</v>
      </c>
      <c r="BA28" s="2" t="s">
        <v>349</v>
      </c>
      <c r="BC28" s="2" t="e" vm="368">
        <f>_xlfn.IMAGE(_xlfn.CONCAT("https://raw.githubusercontent.com/ItsCryp7iC/Genshin-Image-Hosting/main/",BC$1,"/",WeaponMaterialsImg[[#This Row],[Name]],".png"),WeaponMaterialsImg[[#This Row],[Name]])</f>
        <v>#VALUE!</v>
      </c>
      <c r="BD28" s="2" t="s">
        <v>350</v>
      </c>
    </row>
    <row r="29" spans="4:56" ht="30" customHeight="1" x14ac:dyDescent="0.25">
      <c r="D29" s="4" t="e" vm="369">
        <f>_xlfn.IMAGE(_xlfn.CONCAT("https://raw.githubusercontent.com/ItsCryp7iC/Genshin-Image-Hosting/main/",D$1,"/",CharacterDetailsImg[[#This Row],[Name]],".png"),CharacterDetailsImg[[#This Row],[Name]])</f>
        <v>#VALUE!</v>
      </c>
      <c r="E29" s="2" t="s">
        <v>371</v>
      </c>
      <c r="F29" s="2" t="e" vm="348">
        <f t="shared" si="1"/>
        <v>#VALUE!</v>
      </c>
      <c r="G29" s="2" t="e" vm="28">
        <f>$AW$6</f>
        <v>#VALUE!</v>
      </c>
      <c r="H29" s="13">
        <v>3</v>
      </c>
      <c r="I29" s="2" t="e" vm="370">
        <f>$P$19</f>
        <v>#VALUE!</v>
      </c>
      <c r="J29" s="2" t="e" vm="240">
        <f>$T$19</f>
        <v>#VALUE!</v>
      </c>
      <c r="K29" s="2" t="e" vm="271">
        <f>$AF$36</f>
        <v>#VALUE!</v>
      </c>
      <c r="L29" s="2" t="e" vm="302">
        <f>$Z$6</f>
        <v>#VALUE!</v>
      </c>
      <c r="M29" s="2" t="e" vm="371">
        <f>AI29</f>
        <v>#VALUE!</v>
      </c>
      <c r="N29" s="5" t="e" vm="34">
        <f>IF(OR(
E29="TravelerAnemo",
E29="TravelerGeo",
E29="TravelerElectro",
E29="TravelerDendro",
E29="TravelerHydro",
E29="TravelerPyro",
E29="TravelerCryo"),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29" s="2" t="e" vm="372">
        <f>_xlfn.IMAGE(_xlfn.CONCAT("https://raw.githubusercontent.com/ItsCryp7iC/Genshin-Image-Hosting/main/",P$1,"/",WorldBossImg[[#This Row],[Name]],".png"),WorldBossImg[[#This Row],[Name]])</f>
        <v>#VALUE!</v>
      </c>
      <c r="Q29" s="2" t="s">
        <v>352</v>
      </c>
      <c r="R29" s="2" t="s">
        <v>353</v>
      </c>
      <c r="T29" s="2" t="e" vm="373">
        <f>_xlfn.IMAGE(_xlfn.CONCAT("https://raw.githubusercontent.com/ItsCryp7iC/Genshin-Image-Hosting/main/",T$1,"/",WeeklyBossImg[[#This Row],[Name]],".png"),WeeklyBossImg[[#This Row],[Name]])</f>
        <v>#VALUE!</v>
      </c>
      <c r="U29" s="2" t="s">
        <v>334</v>
      </c>
      <c r="V29" s="2" t="s">
        <v>354</v>
      </c>
      <c r="AF29" s="2" t="e" vm="374">
        <f>_xlfn.IMAGE(_xlfn.CONCAT("https://raw.githubusercontent.com/ItsCryp7iC/Genshin-Image-Hosting/main/",AF$1,"/",TalentBooksImg[[#This Row],[Name]],".png"),TalentBooksImg[[#This Row],[Name]])</f>
        <v>#VALUE!</v>
      </c>
      <c r="AG29" s="2" t="s">
        <v>311</v>
      </c>
      <c r="AI29" s="2" t="e" vm="375">
        <f>_xlfn.IMAGE(_xlfn.CONCAT("https://raw.githubusercontent.com/ItsCryp7iC/Genshin-Image-Hosting/main/",AI$1,"/",LocalSpecialtiesImg[[#This Row],[Name]],".png"),LocalSpecialtiesImg[[#This Row],[Name]])</f>
        <v>#VALUE!</v>
      </c>
      <c r="AJ29" s="2" t="s">
        <v>368</v>
      </c>
      <c r="AL29" s="2" t="e" vm="376">
        <f>_xlfn.IMAGE(_xlfn.CONCAT("https://raw.githubusercontent.com/ItsCryp7iC/Genshin-Image-Hosting/main/",AL$1,"/",GemsImg[[#This Row],[Name]],".png"),GemsImg[[#This Row],[Name]])</f>
        <v>#VALUE!</v>
      </c>
      <c r="AM29" s="2" t="str">
        <f>_xlfn.CONCAT(GemsImg[[#This Row],[Column2]],GemsImg[[#This Row],[Column1]])</f>
        <v>ShivadaJadeFragment</v>
      </c>
      <c r="AN29" s="2" t="s">
        <v>778</v>
      </c>
      <c r="AO29" s="2" t="s">
        <v>54</v>
      </c>
      <c r="AZ29" s="2" t="e" vm="377">
        <f>_xlfn.IMAGE(_xlfn.CONCAT("https://raw.githubusercontent.com/ItsCryp7iC/Genshin-Image-Hosting/main/",AZ$1,"/",WeaponsImg[[#This Row],[Name]],".png"),WeaponsImg[[#This Row],[Name]])</f>
        <v>#VALUE!</v>
      </c>
      <c r="BA29" s="2" t="s">
        <v>358</v>
      </c>
      <c r="BC29" s="2" t="e" vm="378">
        <f>_xlfn.IMAGE(_xlfn.CONCAT("https://raw.githubusercontent.com/ItsCryp7iC/Genshin-Image-Hosting/main/",BC$1,"/",WeaponMaterialsImg[[#This Row],[Name]],".png"),WeaponMaterialsImg[[#This Row],[Name]])</f>
        <v>#VALUE!</v>
      </c>
      <c r="BD29" s="2" t="s">
        <v>359</v>
      </c>
    </row>
    <row r="30" spans="4:56" ht="30" customHeight="1" x14ac:dyDescent="0.25">
      <c r="D30" s="4" t="e" vm="379">
        <f>_xlfn.IMAGE(_xlfn.CONCAT("https://raw.githubusercontent.com/ItsCryp7iC/Genshin-Image-Hosting/main/",D$1,"/",CharacterDetailsImg[[#This Row],[Name]],".png"),CharacterDetailsImg[[#This Row],[Name]])</f>
        <v>#VALUE!</v>
      </c>
      <c r="E30" s="2" t="s">
        <v>380</v>
      </c>
      <c r="F30" s="2" t="e" vm="348">
        <f t="shared" si="1"/>
        <v>#VALUE!</v>
      </c>
      <c r="G30" s="2" t="e" vm="165">
        <f>$AW$9</f>
        <v>#VALUE!</v>
      </c>
      <c r="H30" s="13">
        <v>1.1000000000000001</v>
      </c>
      <c r="I30" s="2" t="e" vm="166">
        <f>$P$5</f>
        <v>#VALUE!</v>
      </c>
      <c r="J30" s="2" t="e" vm="380">
        <f>$T$10</f>
        <v>#VALUE!</v>
      </c>
      <c r="K30" s="2" t="e" vm="351">
        <f>$AF$3</f>
        <v>#VALUE!</v>
      </c>
      <c r="L30" s="2" t="e" vm="302">
        <f>$Z$6</f>
        <v>#VALUE!</v>
      </c>
      <c r="M30" s="2" t="e" vm="168">
        <f>$AI$9</f>
        <v>#VALUE!</v>
      </c>
      <c r="N30" s="5" t="e" vm="169">
        <f>IF(OR(
E30="TravelerAnemo",
E30="TravelerGeo",
E30="TravelerElectro",
E30="TravelerDendro",
E30="TravelerHydro",
E30="TravelerPyro",
E30="TravelerCryo"),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0" s="2" t="e" vm="381">
        <f>_xlfn.IMAGE(_xlfn.CONCAT("https://raw.githubusercontent.com/ItsCryp7iC/Genshin-Image-Hosting/main/",P$1,"/",WorldBossImg[[#This Row],[Name]],".png"),WorldBossImg[[#This Row],[Name]])</f>
        <v>#VALUE!</v>
      </c>
      <c r="Q30" s="2" t="s">
        <v>361</v>
      </c>
      <c r="R30" s="2" t="s">
        <v>362</v>
      </c>
      <c r="T30" s="2" t="e" vm="382">
        <f>_xlfn.IMAGE(_xlfn.CONCAT("https://raw.githubusercontent.com/ItsCryp7iC/Genshin-Image-Hosting/main/",T$1,"/",WeeklyBossImg[[#This Row],[Name]],".png"),WeeklyBossImg[[#This Row],[Name]])</f>
        <v>#VALUE!</v>
      </c>
      <c r="U30" s="2" t="s">
        <v>363</v>
      </c>
      <c r="V30" s="2" t="s">
        <v>382</v>
      </c>
      <c r="AF30" s="2" t="e" vm="383">
        <f>_xlfn.IMAGE(_xlfn.CONCAT("https://raw.githubusercontent.com/ItsCryp7iC/Genshin-Image-Hosting/main/",AF$1,"/",TalentBooksImg[[#This Row],[Name]],".png"),TalentBooksImg[[#This Row],[Name]])</f>
        <v>#VALUE!</v>
      </c>
      <c r="AG30" s="19" t="s">
        <v>404</v>
      </c>
      <c r="AI30" s="2" t="e" vm="384">
        <f>_xlfn.IMAGE(_xlfn.CONCAT("https://raw.githubusercontent.com/ItsCryp7iC/Genshin-Image-Hosting/main/",AI$1,"/",LocalSpecialtiesImg[[#This Row],[Name]],".png"),LocalSpecialtiesImg[[#This Row],[Name]])</f>
        <v>#VALUE!</v>
      </c>
      <c r="AJ30" s="2" t="s">
        <v>321</v>
      </c>
      <c r="AL30" s="2" t="e" vm="385">
        <f>_xlfn.IMAGE(_xlfn.CONCAT("https://raw.githubusercontent.com/ItsCryp7iC/Genshin-Image-Hosting/main/",AL$1,"/",GemsImg[[#This Row],[Name]],".png"),GemsImg[[#This Row],[Name]])</f>
        <v>#VALUE!</v>
      </c>
      <c r="AM30" s="2" t="str">
        <f>_xlfn.CONCAT(GemsImg[[#This Row],[Column2]],GemsImg[[#This Row],[Column1]])</f>
        <v>ShivadaJadeSilver</v>
      </c>
      <c r="AN30" s="2" t="s">
        <v>778</v>
      </c>
      <c r="AO30" s="2" t="s">
        <v>53</v>
      </c>
      <c r="AZ30" s="2" t="e" vm="386">
        <f>_xlfn.IMAGE(_xlfn.CONCAT("https://raw.githubusercontent.com/ItsCryp7iC/Genshin-Image-Hosting/main/",AZ$1,"/",WeaponsImg[[#This Row],[Name]],".png"),WeaponsImg[[#This Row],[Name]])</f>
        <v>#VALUE!</v>
      </c>
      <c r="BA30" s="2" t="s">
        <v>369</v>
      </c>
      <c r="BC30" s="2" t="e" vm="387">
        <f>_xlfn.IMAGE(_xlfn.CONCAT("https://raw.githubusercontent.com/ItsCryp7iC/Genshin-Image-Hosting/main/",BC$1,"/",WeaponMaterialsImg[[#This Row],[Name]],".png"),WeaponMaterialsImg[[#This Row],[Name]])</f>
        <v>#VALUE!</v>
      </c>
      <c r="BD30" s="2" t="s">
        <v>370</v>
      </c>
    </row>
    <row r="31" spans="4:56" ht="30" customHeight="1" x14ac:dyDescent="0.25">
      <c r="D31" s="4" t="e" vm="388">
        <f>_xlfn.IMAGE(_xlfn.CONCAT("https://raw.githubusercontent.com/ItsCryp7iC/Genshin-Image-Hosting/main/",D$1,"/",CharacterDetailsImg[[#This Row],[Name]],".png"),CharacterDetailsImg[[#This Row],[Name]])</f>
        <v>#VALUE!</v>
      </c>
      <c r="E31" s="2" t="s">
        <v>388</v>
      </c>
      <c r="F31" s="2" t="e" vm="348">
        <f t="shared" si="1"/>
        <v>#VALUE!</v>
      </c>
      <c r="G31" s="2" t="e" vm="131">
        <f>$AW$3</f>
        <v>#VALUE!</v>
      </c>
      <c r="H31" s="13">
        <v>3.3</v>
      </c>
      <c r="I31" s="2" t="e" vm="389">
        <f>$P$22</f>
        <v>#VALUE!</v>
      </c>
      <c r="J31" s="2" t="e" vm="390">
        <f>$T$21</f>
        <v>#VALUE!</v>
      </c>
      <c r="K31" s="2" t="e" vm="391">
        <f>$AF$30</f>
        <v>#VALUE!</v>
      </c>
      <c r="L31" s="2" t="e" vm="32">
        <f>$Z$13</f>
        <v>#VALUE!</v>
      </c>
      <c r="M31" s="2" t="e" vm="76">
        <f>$AI$33</f>
        <v>#VALUE!</v>
      </c>
      <c r="N31" s="5" t="e" vm="135">
        <f>IF(OR(
E31="TravelerAnemo",
E31="TravelerGeo",
E31="TravelerElectro",
E31="TravelerDendro",
E31="TravelerHydro",
E31="TravelerPyro",
E31="TravelerCryo"),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1" s="2" t="e" vm="392">
        <f>_xlfn.IMAGE(_xlfn.CONCAT("https://raw.githubusercontent.com/ItsCryp7iC/Genshin-Image-Hosting/main/",P$1,"/",WorldBossImg[[#This Row],[Name]],".png"),WorldBossImg[[#This Row],[Name]])</f>
        <v>#VALUE!</v>
      </c>
      <c r="Q31" s="2" t="s">
        <v>372</v>
      </c>
      <c r="R31" s="2" t="s">
        <v>373</v>
      </c>
      <c r="T31" s="2" t="e" vm="393">
        <f>_xlfn.IMAGE(_xlfn.CONCAT("https://raw.githubusercontent.com/ItsCryp7iC/Genshin-Image-Hosting/main/",T$1,"/",WeeklyBossImg[[#This Row],[Name]],".png"),WeeklyBossImg[[#This Row],[Name]])</f>
        <v>#VALUE!</v>
      </c>
      <c r="U31" s="2" t="s">
        <v>363</v>
      </c>
      <c r="V31" s="2" t="s">
        <v>364</v>
      </c>
      <c r="AF31" s="2" t="e" vm="394">
        <f>_xlfn.IMAGE(_xlfn.CONCAT("https://raw.githubusercontent.com/ItsCryp7iC/Genshin-Image-Hosting/main/",AF$1,"/",TalentBooksImg[[#This Row],[Name]],".png"),TalentBooksImg[[#This Row],[Name]])</f>
        <v>#VALUE!</v>
      </c>
      <c r="AG31" s="2" t="s">
        <v>398</v>
      </c>
      <c r="AI31" s="2" t="e" vm="395">
        <f>_xlfn.IMAGE(_xlfn.CONCAT("https://raw.githubusercontent.com/ItsCryp7iC/Genshin-Image-Hosting/main/",AI$1,"/",LocalSpecialtiesImg[[#This Row],[Name]],".png"),LocalSpecialtiesImg[[#This Row],[Name]])</f>
        <v>#VALUE!</v>
      </c>
      <c r="AJ31" s="2" t="s">
        <v>292</v>
      </c>
      <c r="AL31" s="2" t="e" vm="396">
        <f>_xlfn.IMAGE(_xlfn.CONCAT("https://raw.githubusercontent.com/ItsCryp7iC/Genshin-Image-Hosting/main/",AL$1,"/",GemsImg[[#This Row],[Name]],".png"),GemsImg[[#This Row],[Name]])</f>
        <v>#VALUE!</v>
      </c>
      <c r="AM31" s="2" t="str">
        <f>_xlfn.CONCAT(GemsImg[[#This Row],[Column2]],GemsImg[[#This Row],[Column1]])</f>
        <v>PrithivaTopazGemstone</v>
      </c>
      <c r="AN31" s="2" t="s">
        <v>779</v>
      </c>
      <c r="AO31" s="2" t="s">
        <v>56</v>
      </c>
      <c r="AZ31" s="2" t="e" vm="397">
        <f>_xlfn.IMAGE(_xlfn.CONCAT("https://raw.githubusercontent.com/ItsCryp7iC/Genshin-Image-Hosting/main/",AZ$1,"/",WeaponsImg[[#This Row],[Name]],".png"),WeaponsImg[[#This Row],[Name]])</f>
        <v>#VALUE!</v>
      </c>
      <c r="BA31" s="2" t="s">
        <v>378</v>
      </c>
      <c r="BC31" s="2" t="e" vm="398">
        <f>_xlfn.IMAGE(_xlfn.CONCAT("https://raw.githubusercontent.com/ItsCryp7iC/Genshin-Image-Hosting/main/",BC$1,"/",WeaponMaterialsImg[[#This Row],[Name]],".png"),WeaponMaterialsImg[[#This Row],[Name]])</f>
        <v>#VALUE!</v>
      </c>
      <c r="BD31" s="2" t="s">
        <v>379</v>
      </c>
    </row>
    <row r="32" spans="4:56" ht="30" customHeight="1" x14ac:dyDescent="0.25">
      <c r="D32" s="4" t="e" vm="399">
        <f>_xlfn.IMAGE(_xlfn.CONCAT("https://raw.githubusercontent.com/ItsCryp7iC/Genshin-Image-Hosting/main/",D$1,"/",CharacterDetailsImg[[#This Row],[Name]],".png"),CharacterDetailsImg[[#This Row],[Name]])</f>
        <v>#VALUE!</v>
      </c>
      <c r="E32" s="2" t="s">
        <v>396</v>
      </c>
      <c r="F32" s="2" t="e" vm="348">
        <f t="shared" si="1"/>
        <v>#VALUE!</v>
      </c>
      <c r="G32" s="2" t="e" vm="91">
        <f>$AW$5</f>
        <v>#VALUE!</v>
      </c>
      <c r="H32" s="13">
        <v>1</v>
      </c>
      <c r="I32" s="2" t="e" vm="210">
        <f>$P$4</f>
        <v>#VALUE!</v>
      </c>
      <c r="J32" s="2" t="e" vm="167">
        <f>$T$8</f>
        <v>#VALUE!</v>
      </c>
      <c r="K32" s="2" t="e" vm="9">
        <f>$AF$9</f>
        <v>#VALUE!</v>
      </c>
      <c r="L32" s="2" t="e" vm="302">
        <f>$Z$6</f>
        <v>#VALUE!</v>
      </c>
      <c r="M32" s="2" t="e" vm="361">
        <f>$AI$8</f>
        <v>#VALUE!</v>
      </c>
      <c r="N32" s="5" t="e" vm="97">
        <f>IF(OR(
E32="TravelerAnemo",
E32="TravelerGeo",
E32="TravelerElectro",
E32="TravelerDendro",
E32="TravelerHydro",
E32="TravelerPyro",
E32="TravelerCryo"),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2" s="2" t="e" vm="400">
        <f>_xlfn.IMAGE(_xlfn.CONCAT("https://raw.githubusercontent.com/ItsCryp7iC/Genshin-Image-Hosting/main/",P$1,"/",WorldBossImg[[#This Row],[Name]],".png"),WorldBossImg[[#This Row],[Name]])</f>
        <v>#VALUE!</v>
      </c>
      <c r="Q32" s="2" t="s">
        <v>35</v>
      </c>
      <c r="R32" s="2" t="s">
        <v>381</v>
      </c>
      <c r="T32" s="2" t="e" vm="401">
        <f>_xlfn.IMAGE(_xlfn.CONCAT("https://raw.githubusercontent.com/ItsCryp7iC/Genshin-Image-Hosting/main/",T$1,"/",WeeklyBossImg[[#This Row],[Name]],".png"),WeeklyBossImg[[#This Row],[Name]])</f>
        <v>#VALUE!</v>
      </c>
      <c r="U32" s="2" t="s">
        <v>363</v>
      </c>
      <c r="V32" s="2" t="s">
        <v>374</v>
      </c>
      <c r="AF32" s="2" t="e" vm="402">
        <f>_xlfn.IMAGE(_xlfn.CONCAT("https://raw.githubusercontent.com/ItsCryp7iC/Genshin-Image-Hosting/main/",AF$1,"/",TalentBooksImg[[#This Row],[Name]],".png"),TalentBooksImg[[#This Row],[Name]])</f>
        <v>#VALUE!</v>
      </c>
      <c r="AG32" s="19" t="s">
        <v>392</v>
      </c>
      <c r="AI32" s="2" t="e" vm="403">
        <f>_xlfn.IMAGE(_xlfn.CONCAT("https://raw.githubusercontent.com/ItsCryp7iC/Genshin-Image-Hosting/main/",AI$1,"/",LocalSpecialtiesImg[[#This Row],[Name]],".png"),LocalSpecialtiesImg[[#This Row],[Name]])</f>
        <v>#VALUE!</v>
      </c>
      <c r="AJ32" s="2" t="s">
        <v>235</v>
      </c>
      <c r="AL32" s="2" t="e" vm="404">
        <f>_xlfn.IMAGE(_xlfn.CONCAT("https://raw.githubusercontent.com/ItsCryp7iC/Genshin-Image-Hosting/main/",AL$1,"/",GemsImg[[#This Row],[Name]],".png"),GemsImg[[#This Row],[Name]])</f>
        <v>#VALUE!</v>
      </c>
      <c r="AM32" s="2" t="str">
        <f>_xlfn.CONCAT(GemsImg[[#This Row],[Column2]],GemsImg[[#This Row],[Column1]])</f>
        <v>PrithivaTopazChunk</v>
      </c>
      <c r="AN32" s="2" t="s">
        <v>779</v>
      </c>
      <c r="AO32" s="2" t="s">
        <v>55</v>
      </c>
      <c r="AZ32" s="2" t="e" vm="405">
        <f>_xlfn.IMAGE(_xlfn.CONCAT("https://raw.githubusercontent.com/ItsCryp7iC/Genshin-Image-Hosting/main/",AZ$1,"/",WeaponsImg[[#This Row],[Name]],".png"),WeaponsImg[[#This Row],[Name]])</f>
        <v>#VALUE!</v>
      </c>
      <c r="BA32" s="2" t="s">
        <v>386</v>
      </c>
      <c r="BC32" s="2" t="e" vm="406">
        <f>_xlfn.IMAGE(_xlfn.CONCAT("https://raw.githubusercontent.com/ItsCryp7iC/Genshin-Image-Hosting/main/",BC$1,"/",WeaponMaterialsImg[[#This Row],[Name]],".png"),WeaponMaterialsImg[[#This Row],[Name]])</f>
        <v>#VALUE!</v>
      </c>
      <c r="BD32" s="2" t="s">
        <v>387</v>
      </c>
    </row>
    <row r="33" spans="4:56" ht="30" customHeight="1" x14ac:dyDescent="0.25">
      <c r="D33" s="4" t="e" vm="407">
        <f>_xlfn.IMAGE(_xlfn.CONCAT("https://raw.githubusercontent.com/ItsCryp7iC/Genshin-Image-Hosting/main/",D$1,"/",CharacterDetailsImg[[#This Row],[Name]],".png"),CharacterDetailsImg[[#This Row],[Name]])</f>
        <v>#VALUE!</v>
      </c>
      <c r="E33" s="2" t="s">
        <v>402</v>
      </c>
      <c r="F33" s="2" t="e" vm="348">
        <f t="shared" si="1"/>
        <v>#VALUE!</v>
      </c>
      <c r="G33" s="2" t="e" vm="165">
        <f>$AW$9</f>
        <v>#VALUE!</v>
      </c>
      <c r="H33" s="13">
        <v>1.2</v>
      </c>
      <c r="I33" s="2" t="e" vm="166">
        <f>$P$5</f>
        <v>#VALUE!</v>
      </c>
      <c r="J33" s="2" t="e" vm="408">
        <f>$T$11</f>
        <v>#VALUE!</v>
      </c>
      <c r="K33" s="2" t="e" vm="151">
        <f>$AF$15</f>
        <v>#VALUE!</v>
      </c>
      <c r="L33" s="2" t="e" vm="115">
        <f>$Z$9</f>
        <v>#VALUE!</v>
      </c>
      <c r="M33" s="2" t="e" vm="409">
        <f>$AI$15</f>
        <v>#VALUE!</v>
      </c>
      <c r="N33" s="5" t="e" vm="169">
        <f>IF(OR(
E33="TravelerAnemo",
E33="TravelerGeo",
E33="TravelerElectro",
E33="TravelerDendro",
E33="TravelerHydro",
E33="TravelerPyro",
E33="TravelerCryo"),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P33" s="2" t="e" vm="410">
        <f>_xlfn.IMAGE(_xlfn.CONCAT("https://raw.githubusercontent.com/ItsCryp7iC/Genshin-Image-Hosting/main/",P$1,"/",WorldBossImg[[#This Row],[Name]],".png"),WorldBossImg[[#This Row],[Name]])</f>
        <v>#VALUE!</v>
      </c>
      <c r="Q33" s="2" t="s">
        <v>389</v>
      </c>
      <c r="R33" s="2" t="s">
        <v>390</v>
      </c>
      <c r="AF33" s="2" t="e" vm="411">
        <f>_xlfn.IMAGE(_xlfn.CONCAT("https://raw.githubusercontent.com/ItsCryp7iC/Genshin-Image-Hosting/main/",AF$1,"/",TalentBooksImg[[#This Row],[Name]],".png"),TalentBooksImg[[#This Row],[Name]])</f>
        <v>#VALUE!</v>
      </c>
      <c r="AG33" s="19" t="s">
        <v>384</v>
      </c>
      <c r="AI33" s="2" t="e" vm="412">
        <f>_xlfn.IMAGE(_xlfn.CONCAT("https://raw.githubusercontent.com/ItsCryp7iC/Genshin-Image-Hosting/main/",AI$1,"/",LocalSpecialtiesImg[[#This Row],[Name]],".png"),LocalSpecialtiesImg[[#This Row],[Name]])</f>
        <v>#VALUE!</v>
      </c>
      <c r="AJ33" s="2" t="s">
        <v>215</v>
      </c>
      <c r="AL33" s="2" t="e" vm="413">
        <f>_xlfn.IMAGE(_xlfn.CONCAT("https://raw.githubusercontent.com/ItsCryp7iC/Genshin-Image-Hosting/main/",AL$1,"/",GemsImg[[#This Row],[Name]],".png"),GemsImg[[#This Row],[Name]])</f>
        <v>#VALUE!</v>
      </c>
      <c r="AM33" s="2" t="str">
        <f>_xlfn.CONCAT(GemsImg[[#This Row],[Column2]],GemsImg[[#This Row],[Column1]])</f>
        <v>PrithivaTopazFragment</v>
      </c>
      <c r="AN33" s="2" t="s">
        <v>779</v>
      </c>
      <c r="AO33" s="2" t="s">
        <v>54</v>
      </c>
      <c r="AZ33" s="2" t="e" vm="414">
        <f>_xlfn.IMAGE(_xlfn.CONCAT("https://raw.githubusercontent.com/ItsCryp7iC/Genshin-Image-Hosting/main/",AZ$1,"/",WeaponsImg[[#This Row],[Name]],".png"),WeaponsImg[[#This Row],[Name]])</f>
        <v>#VALUE!</v>
      </c>
      <c r="BA33" s="2" t="s">
        <v>394</v>
      </c>
      <c r="BC33" s="2" t="e" vm="415">
        <f>_xlfn.IMAGE(_xlfn.CONCAT("https://raw.githubusercontent.com/ItsCryp7iC/Genshin-Image-Hosting/main/",BC$1,"/",WeaponMaterialsImg[[#This Row],[Name]],".png"),WeaponMaterialsImg[[#This Row],[Name]])</f>
        <v>#VALUE!</v>
      </c>
      <c r="BD33" s="2" t="s">
        <v>395</v>
      </c>
    </row>
    <row r="34" spans="4:56" ht="30" customHeight="1" x14ac:dyDescent="0.25">
      <c r="D34" s="4" t="e" vm="416">
        <f>_xlfn.IMAGE(_xlfn.CONCAT("https://raw.githubusercontent.com/ItsCryp7iC/Genshin-Image-Hosting/main/",D$1,"/",CharacterDetailsImg[[#This Row],[Name]],".png"),CharacterDetailsImg[[#This Row],[Name]])</f>
        <v>#VALUE!</v>
      </c>
      <c r="E34" s="2" t="s">
        <v>408</v>
      </c>
      <c r="F34" s="2" t="e" vm="348">
        <f t="shared" si="1"/>
        <v>#VALUE!</v>
      </c>
      <c r="G34" s="2" t="e" vm="6">
        <f>$AW$4</f>
        <v>#VALUE!</v>
      </c>
      <c r="H34" s="13">
        <v>2.2999999999999998</v>
      </c>
      <c r="I34" s="2" t="e" vm="181">
        <f>$P$12</f>
        <v>#VALUE!</v>
      </c>
      <c r="J34" s="2" t="e" vm="350">
        <f>$T$15</f>
        <v>#VALUE!</v>
      </c>
      <c r="K34" s="2" t="e" vm="74">
        <f>$AF$27</f>
        <v>#VALUE!</v>
      </c>
      <c r="L34" s="2" t="e" vm="75">
        <f>$Z$11</f>
        <v>#VALUE!</v>
      </c>
      <c r="M34" s="2" t="e" vm="417">
        <f>$AI$26</f>
        <v>#VALUE!</v>
      </c>
      <c r="N34" s="5" t="e" vm="12">
        <f>IF(OR(
E34="TravelerAnemo",
E34="TravelerGeo",
E34="TravelerElectro",
E34="TravelerDendro",
E34="TravelerHydro",
E34="TravelerPyro",
E34="TravelerCryo"),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4" s="2" t="e" vm="418">
        <f>_xlfn.IMAGE(_xlfn.CONCAT("https://raw.githubusercontent.com/ItsCryp7iC/Genshin-Image-Hosting/main/",AF$1,"/",TalentBooksImg[[#This Row],[Name]],".png"),TalentBooksImg[[#This Row],[Name]])</f>
        <v>#VALUE!</v>
      </c>
      <c r="AG34" s="2" t="s">
        <v>376</v>
      </c>
      <c r="AI34" s="2" t="e" vm="419">
        <f>_xlfn.IMAGE(_xlfn.CONCAT("https://raw.githubusercontent.com/ItsCryp7iC/Genshin-Image-Hosting/main/",AI$1,"/",LocalSpecialtiesImg[[#This Row],[Name]],".png"),LocalSpecialtiesImg[[#This Row],[Name]])</f>
        <v>#VALUE!</v>
      </c>
      <c r="AJ34" s="2" t="s">
        <v>385</v>
      </c>
      <c r="AL34" s="2" t="e" vm="420">
        <f>_xlfn.IMAGE(_xlfn.CONCAT("https://raw.githubusercontent.com/ItsCryp7iC/Genshin-Image-Hosting/main/",AL$1,"/",GemsImg[[#This Row],[Name]],".png"),GemsImg[[#This Row],[Name]])</f>
        <v>#VALUE!</v>
      </c>
      <c r="AM34" s="2" t="str">
        <f>_xlfn.CONCAT(GemsImg[[#This Row],[Column2]],GemsImg[[#This Row],[Column1]])</f>
        <v>PrithivaTopazSilver</v>
      </c>
      <c r="AN34" s="2" t="s">
        <v>779</v>
      </c>
      <c r="AO34" s="2" t="s">
        <v>53</v>
      </c>
      <c r="AZ34" s="2" t="e" vm="421">
        <f>_xlfn.IMAGE(_xlfn.CONCAT("https://raw.githubusercontent.com/ItsCryp7iC/Genshin-Image-Hosting/main/",AZ$1,"/",WeaponsImg[[#This Row],[Name]],".png"),WeaponsImg[[#This Row],[Name]])</f>
        <v>#VALUE!</v>
      </c>
      <c r="BA34" s="2" t="s">
        <v>400</v>
      </c>
      <c r="BC34" s="2" t="e" vm="422">
        <f>_xlfn.IMAGE(_xlfn.CONCAT("https://raw.githubusercontent.com/ItsCryp7iC/Genshin-Image-Hosting/main/",BC$1,"/",WeaponMaterialsImg[[#This Row],[Name]],".png"),WeaponMaterialsImg[[#This Row],[Name]])</f>
        <v>#VALUE!</v>
      </c>
      <c r="BD34" s="2" t="s">
        <v>401</v>
      </c>
    </row>
    <row r="35" spans="4:56" ht="30" customHeight="1" x14ac:dyDescent="0.25">
      <c r="D35" s="4" t="e" vm="423">
        <f>_xlfn.IMAGE(_xlfn.CONCAT("https://raw.githubusercontent.com/ItsCryp7iC/Genshin-Image-Hosting/main/",D$1,"/",CharacterDetailsImg[[#This Row],[Name]],".png"),CharacterDetailsImg[[#This Row],[Name]])</f>
        <v>#VALUE!</v>
      </c>
      <c r="E35" s="2" t="s">
        <v>415</v>
      </c>
      <c r="F35" s="2" t="e" vm="348">
        <f t="shared" si="1"/>
        <v>#VALUE!</v>
      </c>
      <c r="G35" s="2" t="e" vm="91">
        <f>$AW$5</f>
        <v>#VALUE!</v>
      </c>
      <c r="H35" s="13">
        <v>2.1</v>
      </c>
      <c r="I35" s="2" t="e" vm="424">
        <f>$P$15</f>
        <v>#VALUE!</v>
      </c>
      <c r="J35" s="2" t="e" vm="425">
        <f>$T$17</f>
        <v>#VALUE!</v>
      </c>
      <c r="K35" s="2" t="e" vm="183">
        <f>$AF$24</f>
        <v>#VALUE!</v>
      </c>
      <c r="L35" s="2" t="e" vm="133">
        <f>$Z$4</f>
        <v>#VALUE!</v>
      </c>
      <c r="M35" s="2" t="e" vm="426">
        <f>$AI$23</f>
        <v>#VALUE!</v>
      </c>
      <c r="N35" s="5" t="e" vm="97">
        <f>IF(OR(
E35="TravelerAnemo",
E35="TravelerGeo",
E35="TravelerElectro",
E35="TravelerDendro",
E35="TravelerHydro",
E35="TravelerPyro",
E35="TravelerCryo"),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5" s="2" t="e" vm="427">
        <f>_xlfn.IMAGE(_xlfn.CONCAT("https://raw.githubusercontent.com/ItsCryp7iC/Genshin-Image-Hosting/main/",AF$1,"/",TalentBooksImg[[#This Row],[Name]],".png"),TalentBooksImg[[#This Row],[Name]])</f>
        <v>#VALUE!</v>
      </c>
      <c r="AG35" s="19" t="s">
        <v>367</v>
      </c>
      <c r="AI35" s="2" t="e" vm="428">
        <f>_xlfn.IMAGE(_xlfn.CONCAT("https://raw.githubusercontent.com/ItsCryp7iC/Genshin-Image-Hosting/main/",AI$1,"/",LocalSpecialtiesImg[[#This Row],[Name]],".png"),LocalSpecialtiesImg[[#This Row],[Name]])</f>
        <v>#VALUE!</v>
      </c>
      <c r="AJ35" s="2" t="s">
        <v>273</v>
      </c>
      <c r="AZ35" s="2" t="e" vm="429">
        <f>_xlfn.IMAGE(_xlfn.CONCAT("https://raw.githubusercontent.com/ItsCryp7iC/Genshin-Image-Hosting/main/",AZ$1,"/",WeaponsImg[[#This Row],[Name]],".png"),WeaponsImg[[#This Row],[Name]])</f>
        <v>#VALUE!</v>
      </c>
      <c r="BA35" s="2" t="s">
        <v>406</v>
      </c>
      <c r="BC35" s="2" t="e" vm="430">
        <f>_xlfn.IMAGE(_xlfn.CONCAT("https://raw.githubusercontent.com/ItsCryp7iC/Genshin-Image-Hosting/main/",BC$1,"/",WeaponMaterialsImg[[#This Row],[Name]],".png"),WeaponMaterialsImg[[#This Row],[Name]])</f>
        <v>#VALUE!</v>
      </c>
      <c r="BD35" s="2" t="s">
        <v>407</v>
      </c>
    </row>
    <row r="36" spans="4:56" ht="30" customHeight="1" x14ac:dyDescent="0.25">
      <c r="D36" s="4" t="e" vm="431">
        <f>_xlfn.IMAGE(_xlfn.CONCAT("https://raw.githubusercontent.com/ItsCryp7iC/Genshin-Image-Hosting/main/",D$1,"/",CharacterDetailsImg[[#This Row],[Name]],".png"),CharacterDetailsImg[[#This Row],[Name]])</f>
        <v>#VALUE!</v>
      </c>
      <c r="E36" s="2" t="s">
        <v>421</v>
      </c>
      <c r="F36" s="2" t="e" vm="348">
        <f t="shared" si="1"/>
        <v>#VALUE!</v>
      </c>
      <c r="G36" s="2" t="e" vm="50">
        <f>$AW$8</f>
        <v>#VALUE!</v>
      </c>
      <c r="H36" s="13">
        <v>4</v>
      </c>
      <c r="I36" s="2" t="e" vm="432">
        <f>$P$28</f>
        <v>#VALUE!</v>
      </c>
      <c r="J36" s="2" t="e" vm="433">
        <f>$T$25</f>
        <v>#VALUE!</v>
      </c>
      <c r="K36" s="2" t="e" vm="434">
        <f>$AF$39</f>
        <v>#VALUE!</v>
      </c>
      <c r="L36" s="2" t="e" vm="435">
        <f>$Z$7</f>
        <v>#VALUE!</v>
      </c>
      <c r="M36" s="2" t="e" vm="436">
        <f>$AI$41</f>
        <v>#VALUE!</v>
      </c>
      <c r="N36" s="5" t="e" vm="56">
        <f>IF(OR(
E36="TravelerAnemo",
E36="TravelerGeo",
E36="TravelerElectro",
E36="TravelerDendro",
E36="TravelerHydro",
E36="TravelerPyro",
E36="TravelerCryo"),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6" s="2" t="e" vm="437">
        <f>_xlfn.IMAGE(_xlfn.CONCAT("https://raw.githubusercontent.com/ItsCryp7iC/Genshin-Image-Hosting/main/",AF$1,"/",TalentBooksImg[[#This Row],[Name]],".png"),TalentBooksImg[[#This Row],[Name]])</f>
        <v>#VALUE!</v>
      </c>
      <c r="AG36" s="19" t="s">
        <v>423</v>
      </c>
      <c r="AI36" s="2" t="e" vm="438">
        <f>_xlfn.IMAGE(_xlfn.CONCAT("https://raw.githubusercontent.com/ItsCryp7iC/Genshin-Image-Hosting/main/",AI$1,"/",LocalSpecialtiesImg[[#This Row],[Name]],".png"),LocalSpecialtiesImg[[#This Row],[Name]])</f>
        <v>#VALUE!</v>
      </c>
      <c r="AJ36" s="2" t="s">
        <v>41</v>
      </c>
      <c r="AZ36" s="2" t="e" vm="439">
        <f>_xlfn.IMAGE(_xlfn.CONCAT("https://raw.githubusercontent.com/ItsCryp7iC/Genshin-Image-Hosting/main/",AZ$1,"/",WeaponsImg[[#This Row],[Name]],".png"),WeaponsImg[[#This Row],[Name]])</f>
        <v>#VALUE!</v>
      </c>
      <c r="BA36" s="2" t="s">
        <v>413</v>
      </c>
      <c r="BC36" s="2" t="e" vm="440">
        <f>_xlfn.IMAGE(_xlfn.CONCAT("https://raw.githubusercontent.com/ItsCryp7iC/Genshin-Image-Hosting/main/",BC$1,"/",WeaponMaterialsImg[[#This Row],[Name]],".png"),WeaponMaterialsImg[[#This Row],[Name]])</f>
        <v>#VALUE!</v>
      </c>
      <c r="BD36" s="2" t="s">
        <v>414</v>
      </c>
    </row>
    <row r="37" spans="4:56" ht="30" customHeight="1" x14ac:dyDescent="0.25">
      <c r="D37" s="4" t="e" vm="441">
        <f>_xlfn.IMAGE(_xlfn.CONCAT("https://raw.githubusercontent.com/ItsCryp7iC/Genshin-Image-Hosting/main/",D$1,"/",CharacterDetailsImg[[#This Row],[Name]],".png"),CharacterDetailsImg[[#This Row],[Name]])</f>
        <v>#VALUE!</v>
      </c>
      <c r="E37" s="2" t="s">
        <v>25</v>
      </c>
      <c r="F37" s="2" t="e" vm="348">
        <f t="shared" si="1"/>
        <v>#VALUE!</v>
      </c>
      <c r="G37" s="2" t="e" vm="91">
        <f>$AW$5</f>
        <v>#VALUE!</v>
      </c>
      <c r="H37" s="13">
        <v>4.8</v>
      </c>
      <c r="I37" s="2" t="e" vm="442">
        <f>$P$32</f>
        <v>#VALUE!</v>
      </c>
      <c r="J37" s="2" t="e" vm="443">
        <f>$T$23</f>
        <v>#VALUE!</v>
      </c>
      <c r="K37" s="2" t="e" vm="271">
        <f>$AF$36</f>
        <v>#VALUE!</v>
      </c>
      <c r="L37" s="2" t="e" vm="32">
        <f>$Z$13</f>
        <v>#VALUE!</v>
      </c>
      <c r="M37" s="2" t="e" vm="444">
        <f>$AI$36</f>
        <v>#VALUE!</v>
      </c>
      <c r="N37" s="5" t="e" vm="97">
        <f>IF(OR(
E37="TravelerAnemo",
E37="TravelerGeo",
E37="TravelerElectro",
E37="TravelerDendro",
E37="TravelerHydro",
E37="TravelerPyro",
E37="TravelerCryo"),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7" s="2" t="e" vm="445">
        <f>_xlfn.IMAGE(_xlfn.CONCAT("https://raw.githubusercontent.com/ItsCryp7iC/Genshin-Image-Hosting/main/",AF$1,"/",TalentBooksImg[[#This Row],[Name]],".png"),TalentBooksImg[[#This Row],[Name]])</f>
        <v>#VALUE!</v>
      </c>
      <c r="AG37" s="2" t="s">
        <v>417</v>
      </c>
      <c r="AI37" s="2" t="e" vm="446">
        <f>_xlfn.IMAGE(_xlfn.CONCAT("https://raw.githubusercontent.com/ItsCryp7iC/Genshin-Image-Hosting/main/",AI$1,"/",LocalSpecialtiesImg[[#This Row],[Name]],".png"),LocalSpecialtiesImg[[#This Row],[Name]])</f>
        <v>#VALUE!</v>
      </c>
      <c r="AJ37" s="2" t="s">
        <v>399</v>
      </c>
      <c r="AZ37" s="2" t="e" vm="447">
        <f>_xlfn.IMAGE(_xlfn.CONCAT("https://raw.githubusercontent.com/ItsCryp7iC/Genshin-Image-Hosting/main/",AZ$1,"/",WeaponsImg[[#This Row],[Name]],".png"),WeaponsImg[[#This Row],[Name]])</f>
        <v>#VALUE!</v>
      </c>
      <c r="BA37" s="2" t="s">
        <v>419</v>
      </c>
      <c r="BC37" s="2" t="e" vm="448">
        <f>_xlfn.IMAGE(_xlfn.CONCAT("https://raw.githubusercontent.com/ItsCryp7iC/Genshin-Image-Hosting/main/",BC$1,"/",WeaponMaterialsImg[[#This Row],[Name]],".png"),WeaponMaterialsImg[[#This Row],[Name]])</f>
        <v>#VALUE!</v>
      </c>
      <c r="BD37" s="2" t="s">
        <v>420</v>
      </c>
    </row>
    <row r="38" spans="4:56" ht="30" customHeight="1" x14ac:dyDescent="0.25">
      <c r="D38" s="4" t="e" vm="449">
        <f>_xlfn.IMAGE(_xlfn.CONCAT("https://raw.githubusercontent.com/ItsCryp7iC/Genshin-Image-Hosting/main/",D$1,"/",CharacterDetailsImg[[#This Row],[Name]],".png"),CharacterDetailsImg[[#This Row],[Name]])</f>
        <v>#VALUE!</v>
      </c>
      <c r="E38" s="2" t="s">
        <v>433</v>
      </c>
      <c r="F38" s="2" t="e" vm="348">
        <f t="shared" si="1"/>
        <v>#VALUE!</v>
      </c>
      <c r="G38" s="2" t="e" vm="112">
        <f>$AW$7</f>
        <v>#VALUE!</v>
      </c>
      <c r="H38" s="13">
        <v>1.1000000000000001</v>
      </c>
      <c r="I38" s="2" t="e" vm="337">
        <f>$P$7</f>
        <v>#VALUE!</v>
      </c>
      <c r="J38" s="2" t="e" vm="380">
        <f>$T$10</f>
        <v>#VALUE!</v>
      </c>
      <c r="K38" s="2" t="e" vm="351">
        <f>$AF$3</f>
        <v>#VALUE!</v>
      </c>
      <c r="L38" s="2" t="e" vm="435">
        <f>$Z$7</f>
        <v>#VALUE!</v>
      </c>
      <c r="M38" s="2" t="e" vm="450">
        <f>$AI$16</f>
        <v>#VALUE!</v>
      </c>
      <c r="N38" s="5" t="e" vm="117">
        <f>IF(OR(
E38="TravelerAnemo",
E38="TravelerGeo",
E38="TravelerElectro",
E38="TravelerDendro",
E38="TravelerHydro",
E38="TravelerPyro",
E38="TravelerCryo"),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8" s="2" t="e" vm="451">
        <f>_xlfn.IMAGE(_xlfn.CONCAT("https://raw.githubusercontent.com/ItsCryp7iC/Genshin-Image-Hosting/main/",AF$1,"/",TalentBooksImg[[#This Row],[Name]],".png"),TalentBooksImg[[#This Row],[Name]])</f>
        <v>#VALUE!</v>
      </c>
      <c r="AG38" s="19" t="s">
        <v>411</v>
      </c>
      <c r="AI38" s="2" t="e" vm="452">
        <f>_xlfn.IMAGE(_xlfn.CONCAT("https://raw.githubusercontent.com/ItsCryp7iC/Genshin-Image-Hosting/main/",AI$1,"/",LocalSpecialtiesImg[[#This Row],[Name]],".png"),LocalSpecialtiesImg[[#This Row],[Name]])</f>
        <v>#VALUE!</v>
      </c>
      <c r="AJ38" s="2" t="s">
        <v>101</v>
      </c>
      <c r="AZ38" s="2" t="e" vm="453">
        <f>_xlfn.IMAGE(_xlfn.CONCAT("https://raw.githubusercontent.com/ItsCryp7iC/Genshin-Image-Hosting/main/",AZ$1,"/",WeaponsImg[[#This Row],[Name]],".png"),WeaponsImg[[#This Row],[Name]])</f>
        <v>#VALUE!</v>
      </c>
      <c r="BA38" s="2" t="s">
        <v>425</v>
      </c>
      <c r="BC38" s="2" t="e" vm="454">
        <f>_xlfn.IMAGE(_xlfn.CONCAT("https://raw.githubusercontent.com/ItsCryp7iC/Genshin-Image-Hosting/main/",BC$1,"/",WeaponMaterialsImg[[#This Row],[Name]],".png"),WeaponMaterialsImg[[#This Row],[Name]])</f>
        <v>#VALUE!</v>
      </c>
      <c r="BD38" s="2" t="s">
        <v>426</v>
      </c>
    </row>
    <row r="39" spans="4:56" ht="30" customHeight="1" x14ac:dyDescent="0.25">
      <c r="D39" s="4" t="e" vm="455">
        <f>_xlfn.IMAGE(_xlfn.CONCAT("https://raw.githubusercontent.com/ItsCryp7iC/Genshin-Image-Hosting/main/",D$1,"/",CharacterDetailsImg[[#This Row],[Name]],".png"),CharacterDetailsImg[[#This Row],[Name]])</f>
        <v>#VALUE!</v>
      </c>
      <c r="E39" s="2" t="s">
        <v>439</v>
      </c>
      <c r="F39" s="2" t="e" vm="348">
        <f t="shared" si="1"/>
        <v>#VALUE!</v>
      </c>
      <c r="G39" s="2" t="e" vm="28">
        <f>$AW$6</f>
        <v>#VALUE!</v>
      </c>
      <c r="H39" s="13">
        <v>3</v>
      </c>
      <c r="I39" s="2" t="e" vm="370">
        <f>$P$19</f>
        <v>#VALUE!</v>
      </c>
      <c r="J39" s="2" t="e" vm="456">
        <f>$T$20</f>
        <v>#VALUE!</v>
      </c>
      <c r="K39" s="2" t="e" vm="391">
        <f>$AF$30</f>
        <v>#VALUE!</v>
      </c>
      <c r="L39" s="2" t="e" vm="272">
        <f>$Z$12</f>
        <v>#VALUE!</v>
      </c>
      <c r="M39" s="2" t="e" vm="251">
        <f>$AI$31</f>
        <v>#VALUE!</v>
      </c>
      <c r="N39" s="5" t="e" vm="34">
        <f>IF(OR(
E39="TravelerAnemo",
E39="TravelerGeo",
E39="TravelerElectro",
E39="TravelerDendro",
E39="TravelerHydro",
E39="TravelerPyro",
E39="TravelerCryo"),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39" s="2" t="e" vm="457">
        <f>_xlfn.IMAGE(_xlfn.CONCAT("https://raw.githubusercontent.com/ItsCryp7iC/Genshin-Image-Hosting/main/",AF$1,"/",TalentBooksImg[[#This Row],[Name]],".png"),TalentBooksImg[[#This Row],[Name]])</f>
        <v>#VALUE!</v>
      </c>
      <c r="AG39" s="19" t="s">
        <v>469</v>
      </c>
      <c r="AI39" s="2" t="e" vm="458">
        <f>_xlfn.IMAGE(_xlfn.CONCAT("https://raw.githubusercontent.com/ItsCryp7iC/Genshin-Image-Hosting/main/",AI$1,"/",LocalSpecialtiesImg[[#This Row],[Name]],".png"),LocalSpecialtiesImg[[#This Row],[Name]])</f>
        <v>#VALUE!</v>
      </c>
      <c r="AJ39" s="2" t="s">
        <v>357</v>
      </c>
      <c r="AZ39" s="2" t="e" vm="459">
        <f>_xlfn.IMAGE(_xlfn.CONCAT("https://raw.githubusercontent.com/ItsCryp7iC/Genshin-Image-Hosting/main/",AZ$1,"/",WeaponsImg[[#This Row],[Name]],".png"),WeaponsImg[[#This Row],[Name]])</f>
        <v>#VALUE!</v>
      </c>
      <c r="BA39" s="2" t="s">
        <v>431</v>
      </c>
      <c r="BC39" s="2" t="e" vm="460">
        <f>_xlfn.IMAGE(_xlfn.CONCAT("https://raw.githubusercontent.com/ItsCryp7iC/Genshin-Image-Hosting/main/",BC$1,"/",WeaponMaterialsImg[[#This Row],[Name]],".png"),WeaponMaterialsImg[[#This Row],[Name]])</f>
        <v>#VALUE!</v>
      </c>
      <c r="BD39" s="2" t="s">
        <v>432</v>
      </c>
    </row>
    <row r="40" spans="4:56" ht="30" customHeight="1" x14ac:dyDescent="0.25">
      <c r="D40" s="4" t="e" vm="461">
        <f>_xlfn.IMAGE(_xlfn.CONCAT("https://raw.githubusercontent.com/ItsCryp7iC/Genshin-Image-Hosting/main/",D$1,"/",CharacterDetailsImg[[#This Row],[Name]],".png"),CharacterDetailsImg[[#This Row],[Name]])</f>
        <v>#VALUE!</v>
      </c>
      <c r="E40" s="2" t="s">
        <v>444</v>
      </c>
      <c r="F40" s="2" t="e" vm="348">
        <f t="shared" si="1"/>
        <v>#VALUE!</v>
      </c>
      <c r="G40" s="2" t="e" vm="131">
        <f>$AW$3</f>
        <v>#VALUE!</v>
      </c>
      <c r="H40" s="13">
        <v>1</v>
      </c>
      <c r="I40" s="2" t="e" vm="132">
        <f>$P$3</f>
        <v>#VALUE!</v>
      </c>
      <c r="J40" s="2" t="e" vm="282">
        <f>$T$6</f>
        <v>#VALUE!</v>
      </c>
      <c r="K40" s="2" t="e" vm="9">
        <f>$AF$9</f>
        <v>#VALUE!</v>
      </c>
      <c r="L40" s="2" t="e" vm="462">
        <f>$Z$3</f>
        <v>#VALUE!</v>
      </c>
      <c r="M40" s="2" t="e" vm="11">
        <f>$AI$5</f>
        <v>#VALUE!</v>
      </c>
      <c r="N40" s="5" t="e" vm="135">
        <f>IF(OR(
E40="TravelerAnemo",
E40="TravelerGeo",
E40="TravelerElectro",
E40="TravelerDendro",
E40="TravelerHydro",
E40="TravelerPyro",
E40="TravelerCryo"),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0" s="2" t="e" vm="463">
        <f>_xlfn.IMAGE(_xlfn.CONCAT("https://raw.githubusercontent.com/ItsCryp7iC/Genshin-Image-Hosting/main/",AF$1,"/",TalentBooksImg[[#This Row],[Name]],".png"),TalentBooksImg[[#This Row],[Name]])</f>
        <v>#VALUE!</v>
      </c>
      <c r="AG40" s="2" t="s">
        <v>465</v>
      </c>
      <c r="AI40" s="2" t="e" vm="464">
        <f>_xlfn.IMAGE(_xlfn.CONCAT("https://raw.githubusercontent.com/ItsCryp7iC/Genshin-Image-Hosting/main/",AI$1,"/",LocalSpecialtiesImg[[#This Row],[Name]],".png"),LocalSpecialtiesImg[[#This Row],[Name]])</f>
        <v>#VALUE!</v>
      </c>
      <c r="AJ40" s="2" t="s">
        <v>255</v>
      </c>
      <c r="AZ40" s="2" t="e" vm="465">
        <f>_xlfn.IMAGE(_xlfn.CONCAT("https://raw.githubusercontent.com/ItsCryp7iC/Genshin-Image-Hosting/main/",AZ$1,"/",WeaponsImg[[#This Row],[Name]],".png"),WeaponsImg[[#This Row],[Name]])</f>
        <v>#VALUE!</v>
      </c>
      <c r="BA40" s="2" t="s">
        <v>437</v>
      </c>
      <c r="BC40" s="2" t="e" vm="466">
        <f>_xlfn.IMAGE(_xlfn.CONCAT("https://raw.githubusercontent.com/ItsCryp7iC/Genshin-Image-Hosting/main/",BC$1,"/",WeaponMaterialsImg[[#This Row],[Name]],".png"),WeaponMaterialsImg[[#This Row],[Name]])</f>
        <v>#VALUE!</v>
      </c>
      <c r="BD40" s="2" t="s">
        <v>438</v>
      </c>
    </row>
    <row r="41" spans="4:56" ht="30" customHeight="1" x14ac:dyDescent="0.25">
      <c r="D41" s="4" t="e" vm="467">
        <f>_xlfn.IMAGE(_xlfn.CONCAT("https://raw.githubusercontent.com/ItsCryp7iC/Genshin-Image-Hosting/main/",D$1,"/",CharacterDetailsImg[[#This Row],[Name]],".png"),CharacterDetailsImg[[#This Row],[Name]])</f>
        <v>#VALUE!</v>
      </c>
      <c r="E41" s="2" t="s">
        <v>449</v>
      </c>
      <c r="F41" s="2" t="e" vm="348">
        <f t="shared" si="1"/>
        <v>#VALUE!</v>
      </c>
      <c r="G41" s="2" t="e" vm="112">
        <f>$AW$7</f>
        <v>#VALUE!</v>
      </c>
      <c r="H41" s="13">
        <v>2.7</v>
      </c>
      <c r="I41" s="2" t="e" vm="239">
        <f>$P$18</f>
        <v>#VALUE!</v>
      </c>
      <c r="J41" s="2" t="e" vm="150">
        <f>$T$14</f>
        <v>#VALUE!</v>
      </c>
      <c r="K41" s="2" t="e" vm="212">
        <f>$AF$12</f>
        <v>#VALUE!</v>
      </c>
      <c r="L41" s="2" t="e" vm="435">
        <f>$Z$7</f>
        <v>#VALUE!</v>
      </c>
      <c r="M41" s="2" t="e" vm="450">
        <f>$AI$16</f>
        <v>#VALUE!</v>
      </c>
      <c r="N41" s="5" t="e" vm="117">
        <f>IF(OR(
E41="TravelerAnemo",
E41="TravelerGeo",
E41="TravelerElectro",
E41="TravelerDendro",
E41="TravelerHydro",
E41="TravelerPyro",
E41="TravelerCryo"),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1" s="2" t="e" vm="468">
        <f>_xlfn.IMAGE(_xlfn.CONCAT("https://raw.githubusercontent.com/ItsCryp7iC/Genshin-Image-Hosting/main/",AF$1,"/",TalentBooksImg[[#This Row],[Name]],".png"),TalentBooksImg[[#This Row],[Name]])</f>
        <v>#VALUE!</v>
      </c>
      <c r="AG41" s="19" t="s">
        <v>460</v>
      </c>
      <c r="AI41" s="2" t="e" vm="469">
        <f>_xlfn.IMAGE(_xlfn.CONCAT("https://raw.githubusercontent.com/ItsCryp7iC/Genshin-Image-Hosting/main/",AI$1,"/",LocalSpecialtiesImg[[#This Row],[Name]],".png"),LocalSpecialtiesImg[[#This Row],[Name]])</f>
        <v>#VALUE!</v>
      </c>
      <c r="AJ41" s="2" t="s">
        <v>348</v>
      </c>
      <c r="AZ41" s="2" t="e" vm="470">
        <f>_xlfn.IMAGE(_xlfn.CONCAT("https://raw.githubusercontent.com/ItsCryp7iC/Genshin-Image-Hosting/main/",AZ$1,"/",WeaponsImg[[#This Row],[Name]],".png"),WeaponsImg[[#This Row],[Name]])</f>
        <v>#VALUE!</v>
      </c>
      <c r="BA41" s="2" t="s">
        <v>442</v>
      </c>
      <c r="BC41" s="2" t="e" vm="471">
        <f>_xlfn.IMAGE(_xlfn.CONCAT("https://raw.githubusercontent.com/ItsCryp7iC/Genshin-Image-Hosting/main/",BC$1,"/",WeaponMaterialsImg[[#This Row],[Name]],".png"),WeaponMaterialsImg[[#This Row],[Name]])</f>
        <v>#VALUE!</v>
      </c>
      <c r="BD41" s="2" t="s">
        <v>443</v>
      </c>
    </row>
    <row r="42" spans="4:56" ht="30" customHeight="1" x14ac:dyDescent="0.25">
      <c r="D42" s="4" t="e" vm="472">
        <f>_xlfn.IMAGE(_xlfn.CONCAT("https://raw.githubusercontent.com/ItsCryp7iC/Genshin-Image-Hosting/main/",D$1,"/",CharacterDetailsImg[[#This Row],[Name]],".png"),CharacterDetailsImg[[#This Row],[Name]])</f>
        <v>#VALUE!</v>
      </c>
      <c r="E42" s="2" t="s">
        <v>454</v>
      </c>
      <c r="F42" s="2" t="e" vm="348">
        <f t="shared" si="1"/>
        <v>#VALUE!</v>
      </c>
      <c r="G42" s="2" t="e" vm="50">
        <f>$AW$8</f>
        <v>#VALUE!</v>
      </c>
      <c r="H42" s="13">
        <v>2</v>
      </c>
      <c r="I42" s="2" t="e" vm="473">
        <f>$P$13</f>
        <v>#VALUE!</v>
      </c>
      <c r="J42" s="2" t="e" vm="311">
        <f>$T$12</f>
        <v>#VALUE!</v>
      </c>
      <c r="K42" s="2" t="e" vm="226">
        <f>$AF$21</f>
        <v>#VALUE!</v>
      </c>
      <c r="L42" s="2" t="e" vm="10">
        <f>$Z$5</f>
        <v>#VALUE!</v>
      </c>
      <c r="M42" s="2" t="e" vm="241">
        <f>$AI$24</f>
        <v>#VALUE!</v>
      </c>
      <c r="N42" s="5" t="e" vm="56">
        <f>IF(OR(
E42="TravelerAnemo",
E42="TravelerGeo",
E42="TravelerElectro",
E42="TravelerDendro",
E42="TravelerHydro",
E42="TravelerPyro",
E42="TravelerCryo"),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2" s="2" t="e" vm="474">
        <f>_xlfn.IMAGE(_xlfn.CONCAT("https://raw.githubusercontent.com/ItsCryp7iC/Genshin-Image-Hosting/main/",AF$1,"/",TalentBooksImg[[#This Row],[Name]],".png"),TalentBooksImg[[#This Row],[Name]])</f>
        <v>#VALUE!</v>
      </c>
      <c r="AG42" s="19" t="s">
        <v>441</v>
      </c>
      <c r="AI42" s="2" t="e" vm="475">
        <f>_xlfn.IMAGE(_xlfn.CONCAT("https://raw.githubusercontent.com/ItsCryp7iC/Genshin-Image-Hosting/main/",AI$1,"/",LocalSpecialtiesImg[[#This Row],[Name]],".png"),LocalSpecialtiesImg[[#This Row],[Name]])</f>
        <v>#VALUE!</v>
      </c>
      <c r="AJ42" s="2" t="s">
        <v>264</v>
      </c>
      <c r="AZ42" s="2" t="e" vm="476">
        <f>_xlfn.IMAGE(_xlfn.CONCAT("https://raw.githubusercontent.com/ItsCryp7iC/Genshin-Image-Hosting/main/",AZ$1,"/",WeaponsImg[[#This Row],[Name]],".png"),WeaponsImg[[#This Row],[Name]])</f>
        <v>#VALUE!</v>
      </c>
      <c r="BA42" s="2" t="s">
        <v>447</v>
      </c>
      <c r="BC42" s="2" t="e" vm="477">
        <f>_xlfn.IMAGE(_xlfn.CONCAT("https://raw.githubusercontent.com/ItsCryp7iC/Genshin-Image-Hosting/main/",BC$1,"/",WeaponMaterialsImg[[#This Row],[Name]],".png"),WeaponMaterialsImg[[#This Row],[Name]])</f>
        <v>#VALUE!</v>
      </c>
      <c r="BD42" s="2" t="s">
        <v>448</v>
      </c>
    </row>
    <row r="43" spans="4:56" ht="30" customHeight="1" x14ac:dyDescent="0.25">
      <c r="D43" s="4" t="e" vm="478">
        <f>_xlfn.IMAGE(_xlfn.CONCAT("https://raw.githubusercontent.com/ItsCryp7iC/Genshin-Image-Hosting/main/",D$1,"/",CharacterDetailsImg[[#This Row],[Name]],".png"),CharacterDetailsImg[[#This Row],[Name]])</f>
        <v>#VALUE!</v>
      </c>
      <c r="E43" s="2" t="s">
        <v>459</v>
      </c>
      <c r="F43" s="2" t="e" vm="479">
        <f t="shared" ref="F43:F57" si="2">$AT$4</f>
        <v>#VALUE!</v>
      </c>
      <c r="G43" s="2" t="e" vm="6">
        <f>$AW$4</f>
        <v>#VALUE!</v>
      </c>
      <c r="H43" s="13">
        <v>2.2999999999999998</v>
      </c>
      <c r="I43" s="2" t="e" vm="480">
        <f>$P$16</f>
        <v>#VALUE!</v>
      </c>
      <c r="J43" s="2" t="e" vm="425">
        <f>$T$17</f>
        <v>#VALUE!</v>
      </c>
      <c r="K43" s="2" t="e" vm="183">
        <f>$AF$24</f>
        <v>#VALUE!</v>
      </c>
      <c r="L43" s="2" t="e" vm="462">
        <f>$Z$3</f>
        <v>#VALUE!</v>
      </c>
      <c r="M43" s="2" t="e" vm="481">
        <f>$AI$20</f>
        <v>#VALUE!</v>
      </c>
      <c r="N43" s="5" t="e" vm="12">
        <f>IF(OR(
E43="TravelerAnemo",
E43="TravelerGeo",
E43="TravelerElectro",
E43="TravelerDendro",
E43="TravelerHydro",
E43="TravelerPyro",
E43="TravelerCryo"),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3" s="2" t="e" vm="482">
        <f>_xlfn.IMAGE(_xlfn.CONCAT("https://raw.githubusercontent.com/ItsCryp7iC/Genshin-Image-Hosting/main/",AF$1,"/",TalentBooksImg[[#This Row],[Name]],".png"),TalentBooksImg[[#This Row],[Name]])</f>
        <v>#VALUE!</v>
      </c>
      <c r="AG43" s="2" t="s">
        <v>435</v>
      </c>
      <c r="AI43" s="2" t="e" vm="483">
        <f>_xlfn.IMAGE(_xlfn.CONCAT("https://raw.githubusercontent.com/ItsCryp7iC/Genshin-Image-Hosting/main/",AI$1,"/",LocalSpecialtiesImg[[#This Row],[Name]],".png"),LocalSpecialtiesImg[[#This Row],[Name]])</f>
        <v>#VALUE!</v>
      </c>
      <c r="AJ43" s="2" t="s">
        <v>244</v>
      </c>
      <c r="AZ43" s="2" t="e" vm="484">
        <f>_xlfn.IMAGE(_xlfn.CONCAT("https://raw.githubusercontent.com/ItsCryp7iC/Genshin-Image-Hosting/main/",AZ$1,"/",WeaponsImg[[#This Row],[Name]],".png"),WeaponsImg[[#This Row],[Name]])</f>
        <v>#VALUE!</v>
      </c>
      <c r="BA43" s="2" t="s">
        <v>452</v>
      </c>
      <c r="BC43" s="2" t="e" vm="485">
        <f>_xlfn.IMAGE(_xlfn.CONCAT("https://raw.githubusercontent.com/ItsCryp7iC/Genshin-Image-Hosting/main/",BC$1,"/",WeaponMaterialsImg[[#This Row],[Name]],".png"),WeaponMaterialsImg[[#This Row],[Name]])</f>
        <v>#VALUE!</v>
      </c>
      <c r="BD43" s="2" t="s">
        <v>453</v>
      </c>
    </row>
    <row r="44" spans="4:56" ht="30" customHeight="1" x14ac:dyDescent="0.25">
      <c r="D44" s="4" t="e" vm="486">
        <f>_xlfn.IMAGE(_xlfn.CONCAT("https://raw.githubusercontent.com/ItsCryp7iC/Genshin-Image-Hosting/main/",D$1,"/",CharacterDetailsImg[[#This Row],[Name]],".png"),CharacterDetailsImg[[#This Row],[Name]])</f>
        <v>#VALUE!</v>
      </c>
      <c r="E44" s="2" t="s">
        <v>464</v>
      </c>
      <c r="F44" s="2" t="e" vm="479">
        <f t="shared" si="2"/>
        <v>#VALUE!</v>
      </c>
      <c r="G44" s="2" t="e" vm="91">
        <f>$AW$5</f>
        <v>#VALUE!</v>
      </c>
      <c r="H44" s="13">
        <v>1</v>
      </c>
      <c r="I44" s="2" t="e" vm="210">
        <f>$P$4</f>
        <v>#VALUE!</v>
      </c>
      <c r="J44" s="3" t="e" vm="292">
        <f>$T$5</f>
        <v>#VALUE!</v>
      </c>
      <c r="K44" s="3" t="e" vm="338">
        <f>$AF$18</f>
        <v>#VALUE!</v>
      </c>
      <c r="L44" s="3" t="e" vm="54">
        <f>$Z$8</f>
        <v>#VALUE!</v>
      </c>
      <c r="M44" s="2" t="e" vm="487">
        <f>$AI$12</f>
        <v>#VALUE!</v>
      </c>
      <c r="N44" s="5" t="e" vm="97">
        <f>IF(OR(
E44="TravelerAnemo",
E44="TravelerGeo",
E44="TravelerElectro",
E44="TravelerDendro",
E44="TravelerHydro",
E44="TravelerPyro",
E44="TravelerCryo"),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4" s="2" t="e" vm="488">
        <f>_xlfn.IMAGE(_xlfn.CONCAT("https://raw.githubusercontent.com/ItsCryp7iC/Genshin-Image-Hosting/main/",AF$1,"/",TalentBooksImg[[#This Row],[Name]],".png"),TalentBooksImg[[#This Row],[Name]])</f>
        <v>#VALUE!</v>
      </c>
      <c r="AG44" s="19" t="s">
        <v>429</v>
      </c>
      <c r="AI44" s="2" t="e" vm="489">
        <f>_xlfn.IMAGE(_xlfn.CONCAT("https://raw.githubusercontent.com/ItsCryp7iC/Genshin-Image-Hosting/main/",AI$1,"/",LocalSpecialtiesImg[[#This Row],[Name]],".png"),LocalSpecialtiesImg[[#This Row],[Name]])</f>
        <v>#VALUE!</v>
      </c>
      <c r="AJ44" s="2" t="s">
        <v>436</v>
      </c>
      <c r="AZ44" s="2" t="e" vm="490">
        <f>_xlfn.IMAGE(_xlfn.CONCAT("https://raw.githubusercontent.com/ItsCryp7iC/Genshin-Image-Hosting/main/",AZ$1,"/",WeaponsImg[[#This Row],[Name]],".png"),WeaponsImg[[#This Row],[Name]])</f>
        <v>#VALUE!</v>
      </c>
      <c r="BA44" s="2" t="s">
        <v>457</v>
      </c>
      <c r="BC44" s="2" t="e" vm="491">
        <f>_xlfn.IMAGE(_xlfn.CONCAT("https://raw.githubusercontent.com/ItsCryp7iC/Genshin-Image-Hosting/main/",BC$1,"/",WeaponMaterialsImg[[#This Row],[Name]],".png"),WeaponMaterialsImg[[#This Row],[Name]])</f>
        <v>#VALUE!</v>
      </c>
      <c r="BD44" s="2" t="s">
        <v>458</v>
      </c>
    </row>
    <row r="45" spans="4:56" ht="30" customHeight="1" x14ac:dyDescent="0.25">
      <c r="D45" s="4" t="e" vm="492">
        <f>_xlfn.IMAGE(_xlfn.CONCAT("https://raw.githubusercontent.com/ItsCryp7iC/Genshin-Image-Hosting/main/",D$1,"/",CharacterDetailsImg[[#This Row],[Name]],".png"),CharacterDetailsImg[[#This Row],[Name]])</f>
        <v>#VALUE!</v>
      </c>
      <c r="E45" s="2" t="s">
        <v>468</v>
      </c>
      <c r="F45" s="2" t="e" vm="479">
        <f t="shared" si="2"/>
        <v>#VALUE!</v>
      </c>
      <c r="G45" s="2" t="e" vm="165">
        <f>$AW$9</f>
        <v>#VALUE!</v>
      </c>
      <c r="H45" s="13">
        <v>1</v>
      </c>
      <c r="I45" s="3" t="e" vm="166">
        <f>$P$5</f>
        <v>#VALUE!</v>
      </c>
      <c r="J45" s="3" t="e" vm="292">
        <f>$T$5</f>
        <v>#VALUE!</v>
      </c>
      <c r="K45" s="3" t="e" vm="151">
        <f>$AF$15</f>
        <v>#VALUE!</v>
      </c>
      <c r="L45" s="3" t="e" vm="133">
        <f>$Z$4</f>
        <v>#VALUE!</v>
      </c>
      <c r="M45" s="3" t="e" vm="213">
        <f>$AI$18</f>
        <v>#VALUE!</v>
      </c>
      <c r="N45" s="5" t="e" vm="169">
        <f>IF(OR(
E45="TravelerAnemo",
E45="TravelerGeo",
E45="TravelerElectro",
E45="TravelerDendro",
E45="TravelerHydro",
E45="TravelerPyro",
E45="TravelerCryo"),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5" s="2" t="e" vm="493">
        <f>_xlfn.IMAGE(_xlfn.CONCAT("https://raw.githubusercontent.com/ItsCryp7iC/Genshin-Image-Hosting/main/",AF$1,"/",TalentBooksImg[[#This Row],[Name]],".png"),TalentBooksImg[[#This Row],[Name]])</f>
        <v>#VALUE!</v>
      </c>
      <c r="AG45" s="19" t="s">
        <v>455</v>
      </c>
      <c r="AI45" s="2" t="e" vm="494">
        <f>_xlfn.IMAGE(_xlfn.CONCAT("https://raw.githubusercontent.com/ItsCryp7iC/Genshin-Image-Hosting/main/",AI$1,"/",LocalSpecialtiesImg[[#This Row],[Name]],".png"),LocalSpecialtiesImg[[#This Row],[Name]])</f>
        <v>#VALUE!</v>
      </c>
      <c r="AJ45" s="2" t="s">
        <v>424</v>
      </c>
      <c r="AZ45" s="2" t="e" vm="495">
        <f>_xlfn.IMAGE(_xlfn.CONCAT("https://raw.githubusercontent.com/ItsCryp7iC/Genshin-Image-Hosting/main/",AZ$1,"/",WeaponsImg[[#This Row],[Name]],".png"),WeaponsImg[[#This Row],[Name]])</f>
        <v>#VALUE!</v>
      </c>
      <c r="BA45" s="2" t="s">
        <v>462</v>
      </c>
      <c r="BC45" s="2" t="e" vm="496">
        <f>_xlfn.IMAGE(_xlfn.CONCAT("https://raw.githubusercontent.com/ItsCryp7iC/Genshin-Image-Hosting/main/",BC$1,"/",WeaponMaterialsImg[[#This Row],[Name]],".png"),WeaponMaterialsImg[[#This Row],[Name]])</f>
        <v>#VALUE!</v>
      </c>
      <c r="BD45" s="2" t="s">
        <v>463</v>
      </c>
    </row>
    <row r="46" spans="4:56" ht="30" customHeight="1" x14ac:dyDescent="0.25">
      <c r="D46" s="4" t="e" vm="497">
        <f>_xlfn.IMAGE(_xlfn.CONCAT("https://raw.githubusercontent.com/ItsCryp7iC/Genshin-Image-Hosting/main/",D$1,"/",CharacterDetailsImg[[#This Row],[Name]],".png"),CharacterDetailsImg[[#This Row],[Name]])</f>
        <v>#VALUE!</v>
      </c>
      <c r="E46" s="2" t="s">
        <v>472</v>
      </c>
      <c r="F46" s="2" t="e" vm="479">
        <f t="shared" si="2"/>
        <v>#VALUE!</v>
      </c>
      <c r="G46" s="2" t="e" vm="50">
        <f>$AW$8</f>
        <v>#VALUE!</v>
      </c>
      <c r="H46" s="13">
        <v>3.5</v>
      </c>
      <c r="I46" s="2" t="e" vm="389">
        <f>$P$22</f>
        <v>#VALUE!</v>
      </c>
      <c r="J46" s="2" t="e" vm="390">
        <f>$T$21</f>
        <v>#VALUE!</v>
      </c>
      <c r="K46" s="2" t="e" vm="271">
        <f>$AF$36</f>
        <v>#VALUE!</v>
      </c>
      <c r="L46" s="3" t="e" vm="32">
        <f>$Z$13</f>
        <v>#VALUE!</v>
      </c>
      <c r="M46" s="2" t="e" vm="33">
        <f>$AI$34</f>
        <v>#VALUE!</v>
      </c>
      <c r="N46" s="5" t="e" vm="56">
        <f>IF(OR(
E46="TravelerAnemo",
E46="TravelerGeo",
E46="TravelerElectro",
E46="TravelerDendro",
E46="TravelerHydro",
E46="TravelerPyro",
E46="TravelerCryo"),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6" s="2" t="e" vm="498">
        <f>_xlfn.IMAGE(_xlfn.CONCAT("https://raw.githubusercontent.com/ItsCryp7iC/Genshin-Image-Hosting/main/",AF$1,"/",TalentBooksImg[[#This Row],[Name]],".png"),TalentBooksImg[[#This Row],[Name]])</f>
        <v>#VALUE!</v>
      </c>
      <c r="AG46" s="2" t="s">
        <v>450</v>
      </c>
      <c r="AZ46" s="2" t="e" vm="499">
        <f>_xlfn.IMAGE(_xlfn.CONCAT("https://raw.githubusercontent.com/ItsCryp7iC/Genshin-Image-Hosting/main/",AZ$1,"/",WeaponsImg[[#This Row],[Name]],".png"),WeaponsImg[[#This Row],[Name]])</f>
        <v>#VALUE!</v>
      </c>
      <c r="BA46" s="2" t="s">
        <v>466</v>
      </c>
      <c r="BC46" s="2" t="e" vm="500">
        <f>_xlfn.IMAGE(_xlfn.CONCAT("https://raw.githubusercontent.com/ItsCryp7iC/Genshin-Image-Hosting/main/",BC$1,"/",WeaponMaterialsImg[[#This Row],[Name]],".png"),WeaponMaterialsImg[[#This Row],[Name]])</f>
        <v>#VALUE!</v>
      </c>
      <c r="BD46" s="2" t="s">
        <v>467</v>
      </c>
    </row>
    <row r="47" spans="4:56" ht="30" customHeight="1" x14ac:dyDescent="0.25">
      <c r="D47" s="4" t="e" vm="501">
        <f>_xlfn.IMAGE(_xlfn.CONCAT("https://raw.githubusercontent.com/ItsCryp7iC/Genshin-Image-Hosting/main/",D$1,"/",CharacterDetailsImg[[#This Row],[Name]],".png"),CharacterDetailsImg[[#This Row],[Name]])</f>
        <v>#VALUE!</v>
      </c>
      <c r="E47" s="2" t="s">
        <v>475</v>
      </c>
      <c r="F47" s="2" t="e" vm="479">
        <f t="shared" si="2"/>
        <v>#VALUE!</v>
      </c>
      <c r="G47" s="2" t="e" vm="50">
        <f>$AW$8</f>
        <v>#VALUE!</v>
      </c>
      <c r="H47" s="13">
        <v>1</v>
      </c>
      <c r="I47" s="2" t="e" vm="51">
        <f>$P$6</f>
        <v>#VALUE!</v>
      </c>
      <c r="J47" s="2" t="e" vm="52">
        <f>$T$3</f>
        <v>#VALUE!</v>
      </c>
      <c r="K47" s="2" t="e" vm="53">
        <f>$AF$6</f>
        <v>#VALUE!</v>
      </c>
      <c r="L47" s="3" t="e" vm="435">
        <f>$Z$7</f>
        <v>#VALUE!</v>
      </c>
      <c r="M47" s="3" t="e" vm="361">
        <f>$AI$8</f>
        <v>#VALUE!</v>
      </c>
      <c r="N47" s="5" t="e" vm="56">
        <f>IF(OR(
E47="TravelerAnemo",
E47="TravelerGeo",
E47="TravelerElectro",
E47="TravelerDendro",
E47="TravelerHydro",
E47="TravelerPyro",
E47="TravelerCryo"),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F47" s="2" t="e" vm="502">
        <f>_xlfn.IMAGE(_xlfn.CONCAT("https://raw.githubusercontent.com/ItsCryp7iC/Genshin-Image-Hosting/main/",AF$1,"/",TalentBooksImg[[#This Row],[Name]],".png"),TalentBooksImg[[#This Row],[Name]])</f>
        <v>#VALUE!</v>
      </c>
      <c r="AG47" s="19" t="s">
        <v>445</v>
      </c>
      <c r="AZ47" s="2" t="e" vm="503">
        <f>_xlfn.IMAGE(_xlfn.CONCAT("https://raw.githubusercontent.com/ItsCryp7iC/Genshin-Image-Hosting/main/",AZ$1,"/",WeaponsImg[[#This Row],[Name]],".png"),WeaponsImg[[#This Row],[Name]])</f>
        <v>#VALUE!</v>
      </c>
      <c r="BA47" s="2" t="s">
        <v>470</v>
      </c>
      <c r="BC47" s="2" t="e" vm="504">
        <f>_xlfn.IMAGE(_xlfn.CONCAT("https://raw.githubusercontent.com/ItsCryp7iC/Genshin-Image-Hosting/main/",BC$1,"/",WeaponMaterialsImg[[#This Row],[Name]],".png"),WeaponMaterialsImg[[#This Row],[Name]])</f>
        <v>#VALUE!</v>
      </c>
      <c r="BD47" s="2" t="s">
        <v>471</v>
      </c>
    </row>
    <row r="48" spans="4:56" ht="30" customHeight="1" x14ac:dyDescent="0.25">
      <c r="D48" s="4" t="e" vm="505">
        <f>_xlfn.IMAGE(_xlfn.CONCAT("https://raw.githubusercontent.com/ItsCryp7iC/Genshin-Image-Hosting/main/",D$1,"/",CharacterDetailsImg[[#This Row],[Name]],".png"),CharacterDetailsImg[[#This Row],[Name]])</f>
        <v>#VALUE!</v>
      </c>
      <c r="E48" s="2" t="s">
        <v>478</v>
      </c>
      <c r="F48" s="2" t="e" vm="479">
        <f t="shared" si="2"/>
        <v>#VALUE!</v>
      </c>
      <c r="G48" s="2" t="e" vm="91">
        <f>$AW$5</f>
        <v>#VALUE!</v>
      </c>
      <c r="H48" s="13">
        <v>3</v>
      </c>
      <c r="I48" s="2" t="e" vm="506">
        <f>$P$20</f>
        <v>#VALUE!</v>
      </c>
      <c r="J48" s="2" t="e" vm="182">
        <f>$T$13</f>
        <v>#VALUE!</v>
      </c>
      <c r="K48" s="2" t="e" vm="31">
        <f>$AF$33</f>
        <v>#VALUE!</v>
      </c>
      <c r="L48" s="2" t="e" vm="32">
        <f>$Z$13</f>
        <v>#VALUE!</v>
      </c>
      <c r="M48" s="2" t="e" vm="507">
        <f>$AI$32</f>
        <v>#VALUE!</v>
      </c>
      <c r="N48" s="5" t="e" vm="97">
        <f>IF(OR(
E48="TravelerAnemo",
E48="TravelerGeo",
E48="TravelerElectro",
E48="TravelerDendro",
E48="TravelerHydro",
E48="TravelerPyro",
E48="TravelerCryo"),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48" s="2" t="e" vm="508">
        <f>_xlfn.IMAGE(_xlfn.CONCAT("https://raw.githubusercontent.com/ItsCryp7iC/Genshin-Image-Hosting/main/",AZ$1,"/",WeaponsImg[[#This Row],[Name]],".png"),WeaponsImg[[#This Row],[Name]])</f>
        <v>#VALUE!</v>
      </c>
      <c r="BA48" s="2" t="s">
        <v>473</v>
      </c>
      <c r="BC48" s="2" t="e" vm="509">
        <f>_xlfn.IMAGE(_xlfn.CONCAT("https://raw.githubusercontent.com/ItsCryp7iC/Genshin-Image-Hosting/main/",BC$1,"/",WeaponMaterialsImg[[#This Row],[Name]],".png"),WeaponMaterialsImg[[#This Row],[Name]])</f>
        <v>#VALUE!</v>
      </c>
      <c r="BD48" s="2" t="s">
        <v>474</v>
      </c>
    </row>
    <row r="49" spans="4:56" ht="30" customHeight="1" x14ac:dyDescent="0.25">
      <c r="D49" s="4" t="e" vm="510">
        <f>_xlfn.IMAGE(_xlfn.CONCAT("https://raw.githubusercontent.com/ItsCryp7iC/Genshin-Image-Hosting/main/",D$1,"/",CharacterDetailsImg[[#This Row],[Name]],".png"),CharacterDetailsImg[[#This Row],[Name]])</f>
        <v>#VALUE!</v>
      </c>
      <c r="E49" s="2" t="s">
        <v>481</v>
      </c>
      <c r="F49" s="2" t="e" vm="479">
        <f t="shared" si="2"/>
        <v>#VALUE!</v>
      </c>
      <c r="G49" s="2" t="e" vm="165">
        <f>$AW$9</f>
        <v>#VALUE!</v>
      </c>
      <c r="H49" s="13">
        <v>1.5</v>
      </c>
      <c r="I49" s="2" t="e" vm="349">
        <f>$P$10</f>
        <v>#VALUE!</v>
      </c>
      <c r="J49" s="2" t="e" vm="311">
        <f>$T$12</f>
        <v>#VALUE!</v>
      </c>
      <c r="K49" s="2" t="e" vm="53">
        <f>$AF$6</f>
        <v>#VALUE!</v>
      </c>
      <c r="L49" s="3" t="e" vm="133">
        <f>$Z$4</f>
        <v>#VALUE!</v>
      </c>
      <c r="M49" s="2" t="e" vm="134">
        <f>$AI$10</f>
        <v>#VALUE!</v>
      </c>
      <c r="N49" s="5" t="e" vm="169">
        <f>IF(OR(
E49="TravelerAnemo",
E49="TravelerGeo",
E49="TravelerElectro",
E49="TravelerDendro",
E49="TravelerHydro",
E49="TravelerPyro",
E49="TravelerCryo"),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49" s="2" t="e" vm="511">
        <f>_xlfn.IMAGE(_xlfn.CONCAT("https://raw.githubusercontent.com/ItsCryp7iC/Genshin-Image-Hosting/main/",AZ$1,"/",WeaponsImg[[#This Row],[Name]],".png"),WeaponsImg[[#This Row],[Name]])</f>
        <v>#VALUE!</v>
      </c>
      <c r="BA49" s="2" t="s">
        <v>476</v>
      </c>
      <c r="BC49" s="2" t="e" vm="512">
        <f>_xlfn.IMAGE(_xlfn.CONCAT("https://raw.githubusercontent.com/ItsCryp7iC/Genshin-Image-Hosting/main/",BC$1,"/",WeaponMaterialsImg[[#This Row],[Name]],".png"),WeaponMaterialsImg[[#This Row],[Name]])</f>
        <v>#VALUE!</v>
      </c>
      <c r="BD49" s="2" t="s">
        <v>477</v>
      </c>
    </row>
    <row r="50" spans="4:56" ht="30" customHeight="1" x14ac:dyDescent="0.25">
      <c r="D50" s="4" t="e" vm="513">
        <f>_xlfn.IMAGE(_xlfn.CONCAT("https://raw.githubusercontent.com/ItsCryp7iC/Genshin-Image-Hosting/main/",D$1,"/",CharacterDetailsImg[[#This Row],[Name]],".png"),CharacterDetailsImg[[#This Row],[Name]])</f>
        <v>#VALUE!</v>
      </c>
      <c r="E50" s="2" t="s">
        <v>484</v>
      </c>
      <c r="F50" s="2" t="e" vm="479">
        <f t="shared" si="2"/>
        <v>#VALUE!</v>
      </c>
      <c r="G50" s="2" t="e" vm="165">
        <f>$AW$9</f>
        <v>#VALUE!</v>
      </c>
      <c r="H50" s="13">
        <v>4</v>
      </c>
      <c r="I50" s="2" t="e" vm="514">
        <f>$P$27</f>
        <v>#VALUE!</v>
      </c>
      <c r="J50" s="2" t="e" vm="328">
        <f>$T$24</f>
        <v>#VALUE!</v>
      </c>
      <c r="K50" s="2" t="e" vm="94">
        <f>$AF$42</f>
        <v>#VALUE!</v>
      </c>
      <c r="L50" s="2" t="e" vm="95">
        <f>$Z$14</f>
        <v>#VALUE!</v>
      </c>
      <c r="M50" s="2" t="e" vm="515">
        <f>$AI$39</f>
        <v>#VALUE!</v>
      </c>
      <c r="N50" s="5" t="e" vm="169">
        <f>IF(OR(
E50="TravelerAnemo",
E50="TravelerGeo",
E50="TravelerElectro",
E50="TravelerDendro",
E50="TravelerHydro",
E50="TravelerPyro",
E50="TravelerCryo"),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0" s="2" t="e" vm="516">
        <f>_xlfn.IMAGE(_xlfn.CONCAT("https://raw.githubusercontent.com/ItsCryp7iC/Genshin-Image-Hosting/main/",AZ$1,"/",WeaponsImg[[#This Row],[Name]],".png"),WeaponsImg[[#This Row],[Name]])</f>
        <v>#VALUE!</v>
      </c>
      <c r="BA50" s="2" t="s">
        <v>479</v>
      </c>
      <c r="BC50" s="2" t="e" vm="517">
        <f>_xlfn.IMAGE(_xlfn.CONCAT("https://raw.githubusercontent.com/ItsCryp7iC/Genshin-Image-Hosting/main/",BC$1,"/",WeaponMaterialsImg[[#This Row],[Name]],".png"),WeaponMaterialsImg[[#This Row],[Name]])</f>
        <v>#VALUE!</v>
      </c>
      <c r="BD50" s="2" t="s">
        <v>480</v>
      </c>
    </row>
    <row r="51" spans="4:56" ht="30" customHeight="1" x14ac:dyDescent="0.25">
      <c r="D51" s="4" t="e" vm="518">
        <f>_xlfn.IMAGE(_xlfn.CONCAT("https://raw.githubusercontent.com/ItsCryp7iC/Genshin-Image-Hosting/main/",D$1,"/",CharacterDetailsImg[[#This Row],[Name]],".png"),CharacterDetailsImg[[#This Row],[Name]])</f>
        <v>#VALUE!</v>
      </c>
      <c r="E51" s="2" t="s">
        <v>487</v>
      </c>
      <c r="F51" s="2" t="e" vm="479">
        <f t="shared" si="2"/>
        <v>#VALUE!</v>
      </c>
      <c r="G51" s="2" t="e" vm="50">
        <f>$AW$8</f>
        <v>#VALUE!</v>
      </c>
      <c r="H51" s="13">
        <v>4.4000000000000004</v>
      </c>
      <c r="I51" s="2" t="e" vm="432">
        <f>$P$28</f>
        <v>#VALUE!</v>
      </c>
      <c r="J51" s="2" t="e" vm="114">
        <f>$T$29</f>
        <v>#VALUE!</v>
      </c>
      <c r="K51" s="2" t="e" vm="212">
        <f>$AF$12</f>
        <v>#VALUE!</v>
      </c>
      <c r="L51" s="2" t="e" vm="462">
        <f>$Z$3</f>
        <v>#VALUE!</v>
      </c>
      <c r="M51" s="2" t="e" vm="450">
        <f>$AI$16</f>
        <v>#VALUE!</v>
      </c>
      <c r="N51" s="5" t="e" vm="56">
        <f>IF(OR(
E51="TravelerAnemo",
E51="TravelerGeo",
E51="TravelerElectro",
E51="TravelerDendro",
E51="TravelerHydro",
E51="TravelerPyro",
E51="TravelerCryo"),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1" s="2" t="e" vm="519">
        <f>_xlfn.IMAGE(_xlfn.CONCAT("https://raw.githubusercontent.com/ItsCryp7iC/Genshin-Image-Hosting/main/",AZ$1,"/",WeaponsImg[[#This Row],[Name]],".png"),WeaponsImg[[#This Row],[Name]])</f>
        <v>#VALUE!</v>
      </c>
      <c r="BA51" s="2" t="s">
        <v>482</v>
      </c>
      <c r="BC51" s="2" t="e" vm="520">
        <f>_xlfn.IMAGE(_xlfn.CONCAT("https://raw.githubusercontent.com/ItsCryp7iC/Genshin-Image-Hosting/main/",BC$1,"/",WeaponMaterialsImg[[#This Row],[Name]],".png"),WeaponMaterialsImg[[#This Row],[Name]])</f>
        <v>#VALUE!</v>
      </c>
      <c r="BD51" s="2" t="s">
        <v>483</v>
      </c>
    </row>
    <row r="52" spans="4:56" ht="30" customHeight="1" x14ac:dyDescent="0.25">
      <c r="D52" s="4" t="e" vm="521">
        <f>_xlfn.IMAGE(_xlfn.CONCAT("https://raw.githubusercontent.com/ItsCryp7iC/Genshin-Image-Hosting/main/",D$1,"/",CharacterDetailsImg[[#This Row],[Name]],".png"),CharacterDetailsImg[[#This Row],[Name]])</f>
        <v>#VALUE!</v>
      </c>
      <c r="E52" s="2" t="s">
        <v>490</v>
      </c>
      <c r="F52" s="2" t="e" vm="479">
        <f t="shared" si="2"/>
        <v>#VALUE!</v>
      </c>
      <c r="G52" s="2" t="e" vm="28">
        <f>$AW$6</f>
        <v>#VALUE!</v>
      </c>
      <c r="H52" s="13">
        <v>1.6</v>
      </c>
      <c r="I52" s="2" t="e" vm="522">
        <f>$P$23</f>
        <v>#VALUE!</v>
      </c>
      <c r="J52" s="2" t="e" vm="433">
        <f>$T$25</f>
        <v>#VALUE!</v>
      </c>
      <c r="K52" s="2" t="e" vm="31">
        <f>$AF$33</f>
        <v>#VALUE!</v>
      </c>
      <c r="L52" s="2" t="e" vm="272">
        <f>$Z$12</f>
        <v>#VALUE!</v>
      </c>
      <c r="M52" s="2" t="e" vm="523">
        <f>$AI$35</f>
        <v>#VALUE!</v>
      </c>
      <c r="N52" s="5" t="e" vm="34">
        <f>IF(OR(
E52="TravelerAnemo",
E52="TravelerGeo",
E52="TravelerElectro",
E52="TravelerDendro",
E52="TravelerHydro",
E52="TravelerPyro",
E52="TravelerCryo"),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2" s="2" t="e" vm="524">
        <f>_xlfn.IMAGE(_xlfn.CONCAT("https://raw.githubusercontent.com/ItsCryp7iC/Genshin-Image-Hosting/main/",AZ$1,"/",WeaponsImg[[#This Row],[Name]],".png"),WeaponsImg[[#This Row],[Name]])</f>
        <v>#VALUE!</v>
      </c>
      <c r="BA52" s="2" t="s">
        <v>485</v>
      </c>
      <c r="BC52" s="2" t="e" vm="525">
        <f>_xlfn.IMAGE(_xlfn.CONCAT("https://raw.githubusercontent.com/ItsCryp7iC/Genshin-Image-Hosting/main/",BC$1,"/",WeaponMaterialsImg[[#This Row],[Name]],".png"),WeaponMaterialsImg[[#This Row],[Name]])</f>
        <v>#VALUE!</v>
      </c>
      <c r="BD52" s="2" t="s">
        <v>486</v>
      </c>
    </row>
    <row r="53" spans="4:56" ht="30" customHeight="1" x14ac:dyDescent="0.25">
      <c r="D53" s="4" t="e" vm="526">
        <f>_xlfn.IMAGE(_xlfn.CONCAT("https://raw.githubusercontent.com/ItsCryp7iC/Genshin-Image-Hosting/main/",D$1,"/",CharacterDetailsImg[[#This Row],[Name]],".png"),CharacterDetailsImg[[#This Row],[Name]])</f>
        <v>#VALUE!</v>
      </c>
      <c r="E53" s="2" t="s">
        <v>493</v>
      </c>
      <c r="F53" s="2" t="e" vm="479">
        <f t="shared" si="2"/>
        <v>#VALUE!</v>
      </c>
      <c r="G53" s="2" t="e" vm="6">
        <f>$AW$4</f>
        <v>#VALUE!</v>
      </c>
      <c r="H53" s="13">
        <v>4.3</v>
      </c>
      <c r="I53" s="2" t="e" vm="514">
        <f>$P$27</f>
        <v>#VALUE!</v>
      </c>
      <c r="J53" s="2" t="e" vm="73">
        <f>$T$27</f>
        <v>#VALUE!</v>
      </c>
      <c r="K53" s="2" t="e" vm="434">
        <f>$AF$39</f>
        <v>#VALUE!</v>
      </c>
      <c r="L53" s="2" t="e" vm="95">
        <f>$Z$14</f>
        <v>#VALUE!</v>
      </c>
      <c r="M53" s="2" t="e" vm="527">
        <f>$AI$45</f>
        <v>#VALUE!</v>
      </c>
      <c r="N53" s="5" t="e" vm="12">
        <f>IF(OR(
E53="TravelerAnemo",
E53="TravelerGeo",
E53="TravelerElectro",
E53="TravelerDendro",
E53="TravelerHydro",
E53="TravelerPyro",
E53="TravelerCryo"),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3" s="2" t="e" vm="528">
        <f>_xlfn.IMAGE(_xlfn.CONCAT("https://raw.githubusercontent.com/ItsCryp7iC/Genshin-Image-Hosting/main/",AZ$1,"/",WeaponsImg[[#This Row],[Name]],".png"),WeaponsImg[[#This Row],[Name]])</f>
        <v>#VALUE!</v>
      </c>
      <c r="BA53" s="2" t="s">
        <v>488</v>
      </c>
      <c r="BC53" s="2" t="e" vm="529">
        <f>_xlfn.IMAGE(_xlfn.CONCAT("https://raw.githubusercontent.com/ItsCryp7iC/Genshin-Image-Hosting/main/",BC$1,"/",WeaponMaterialsImg[[#This Row],[Name]],".png"),WeaponMaterialsImg[[#This Row],[Name]])</f>
        <v>#VALUE!</v>
      </c>
      <c r="BD53" s="2" t="s">
        <v>489</v>
      </c>
    </row>
    <row r="54" spans="4:56" ht="30" customHeight="1" x14ac:dyDescent="0.25">
      <c r="D54" s="4" t="e" vm="530">
        <f>_xlfn.IMAGE(_xlfn.CONCAT("https://raw.githubusercontent.com/ItsCryp7iC/Genshin-Image-Hosting/main/",D$1,"/",CharacterDetailsImg[[#This Row],[Name]],".png"),CharacterDetailsImg[[#This Row],[Name]])</f>
        <v>#VALUE!</v>
      </c>
      <c r="E54" s="2" t="s">
        <v>496</v>
      </c>
      <c r="F54" s="2" t="e" vm="479">
        <f t="shared" si="2"/>
        <v>#VALUE!</v>
      </c>
      <c r="G54" s="2" t="e" vm="6">
        <f>$AW$4</f>
        <v>#VALUE!</v>
      </c>
      <c r="H54" s="13">
        <v>1</v>
      </c>
      <c r="I54" s="2" t="e" vm="7">
        <f>$P$8</f>
        <v>#VALUE!</v>
      </c>
      <c r="J54" s="2" t="e" vm="531">
        <f>$T$4</f>
        <v>#VALUE!</v>
      </c>
      <c r="K54" s="2" t="e" vm="53">
        <f>$AF$6</f>
        <v>#VALUE!</v>
      </c>
      <c r="L54" s="3" t="e" vm="133">
        <f>$Z$4</f>
        <v>#VALUE!</v>
      </c>
      <c r="M54" s="2" t="e" vm="532">
        <f>$AI$4</f>
        <v>#VALUE!</v>
      </c>
      <c r="N54" s="5" t="e" vm="12">
        <f>IF(OR(
E54="TravelerAnemo",
E54="TravelerGeo",
E54="TravelerElectro",
E54="TravelerDendro",
E54="TravelerHydro",
E54="TravelerPyro",
E54="TravelerCryo"),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4" s="2" t="e" vm="533">
        <f>_xlfn.IMAGE(_xlfn.CONCAT("https://raw.githubusercontent.com/ItsCryp7iC/Genshin-Image-Hosting/main/",AZ$1,"/",WeaponsImg[[#This Row],[Name]],".png"),WeaponsImg[[#This Row],[Name]])</f>
        <v>#VALUE!</v>
      </c>
      <c r="BA54" s="2" t="s">
        <v>491</v>
      </c>
      <c r="BC54" s="2" t="e" vm="534">
        <f>_xlfn.IMAGE(_xlfn.CONCAT("https://raw.githubusercontent.com/ItsCryp7iC/Genshin-Image-Hosting/main/",BC$1,"/",WeaponMaterialsImg[[#This Row],[Name]],".png"),WeaponMaterialsImg[[#This Row],[Name]])</f>
        <v>#VALUE!</v>
      </c>
      <c r="BD54" s="2" t="s">
        <v>492</v>
      </c>
    </row>
    <row r="55" spans="4:56" ht="30" customHeight="1" x14ac:dyDescent="0.25">
      <c r="D55" s="4" t="e" vm="535">
        <f>_xlfn.IMAGE(_xlfn.CONCAT("https://raw.githubusercontent.com/ItsCryp7iC/Genshin-Image-Hosting/main/",D$1,"/",CharacterDetailsImg[[#This Row],[Name]],".png"),CharacterDetailsImg[[#This Row],[Name]])</f>
        <v>#VALUE!</v>
      </c>
      <c r="E55" s="2" t="s">
        <v>499</v>
      </c>
      <c r="F55" s="2" t="e" vm="479">
        <f t="shared" si="2"/>
        <v>#VALUE!</v>
      </c>
      <c r="G55" s="2" t="e" vm="91">
        <f>$AW$5</f>
        <v>#VALUE!</v>
      </c>
      <c r="H55" s="13">
        <v>1</v>
      </c>
      <c r="I55" s="2" t="e" vm="210">
        <f>$P$4</f>
        <v>#VALUE!</v>
      </c>
      <c r="J55" s="2" t="e" vm="531">
        <f>$T$4</f>
        <v>#VALUE!</v>
      </c>
      <c r="K55" s="2" t="e" vm="53">
        <f>$AF$6</f>
        <v>#VALUE!</v>
      </c>
      <c r="L55" s="3" t="e" vm="133">
        <f>$Z$4</f>
        <v>#VALUE!</v>
      </c>
      <c r="M55" s="2" t="e" vm="536">
        <f>$AI$3</f>
        <v>#VALUE!</v>
      </c>
      <c r="N55" s="5" t="e" vm="97">
        <f>IF(OR(
E55="TravelerAnemo",
E55="TravelerGeo",
E55="TravelerElectro",
E55="TravelerDendro",
E55="TravelerHydro",
E55="TravelerPyro",
E55="TravelerCryo"),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5" s="2" t="e" vm="537">
        <f>_xlfn.IMAGE(_xlfn.CONCAT("https://raw.githubusercontent.com/ItsCryp7iC/Genshin-Image-Hosting/main/",AZ$1,"/",WeaponsImg[[#This Row],[Name]],".png"),WeaponsImg[[#This Row],[Name]])</f>
        <v>#VALUE!</v>
      </c>
      <c r="BA55" s="2" t="s">
        <v>494</v>
      </c>
      <c r="BC55" s="2" t="e" vm="538">
        <f>_xlfn.IMAGE(_xlfn.CONCAT("https://raw.githubusercontent.com/ItsCryp7iC/Genshin-Image-Hosting/main/",BC$1,"/",WeaponMaterialsImg[[#This Row],[Name]],".png"),WeaponMaterialsImg[[#This Row],[Name]])</f>
        <v>#VALUE!</v>
      </c>
      <c r="BD55" s="2" t="s">
        <v>495</v>
      </c>
    </row>
    <row r="56" spans="4:56" ht="30" customHeight="1" x14ac:dyDescent="0.25">
      <c r="D56" s="4" t="e" vm="539">
        <f>_xlfn.IMAGE(_xlfn.CONCAT("https://raw.githubusercontent.com/ItsCryp7iC/Genshin-Image-Hosting/main/",D$1,"/",CharacterDetailsImg[[#This Row],[Name]],".png"),CharacterDetailsImg[[#This Row],[Name]])</f>
        <v>#VALUE!</v>
      </c>
      <c r="E56" s="2" t="s">
        <v>502</v>
      </c>
      <c r="F56" s="2" t="e" vm="479">
        <f t="shared" si="2"/>
        <v>#VALUE!</v>
      </c>
      <c r="G56" s="2" t="e" vm="131">
        <f>$AW$3</f>
        <v>#VALUE!</v>
      </c>
      <c r="H56" s="13">
        <v>2</v>
      </c>
      <c r="I56" s="2" t="e" vm="149">
        <f>$P$11</f>
        <v>#VALUE!</v>
      </c>
      <c r="J56" s="2" t="e" vm="150">
        <f>$T$14</f>
        <v>#VALUE!</v>
      </c>
      <c r="K56" s="2" t="e" vm="74">
        <f>$AF$27</f>
        <v>#VALUE!</v>
      </c>
      <c r="L56" s="2" t="e" vm="115">
        <f>$Z$9</f>
        <v>#VALUE!</v>
      </c>
      <c r="M56" s="2" t="e" vm="352">
        <f>$AI$22</f>
        <v>#VALUE!</v>
      </c>
      <c r="N56" s="5" t="e" vm="135">
        <f>IF(OR(
E56="TravelerAnemo",
E56="TravelerGeo",
E56="TravelerElectro",
E56="TravelerDendro",
E56="TravelerHydro",
E56="TravelerPyro",
E56="TravelerCryo"),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6" s="2" t="e" vm="540">
        <f>_xlfn.IMAGE(_xlfn.CONCAT("https://raw.githubusercontent.com/ItsCryp7iC/Genshin-Image-Hosting/main/",AZ$1,"/",WeaponsImg[[#This Row],[Name]],".png"),WeaponsImg[[#This Row],[Name]])</f>
        <v>#VALUE!</v>
      </c>
      <c r="BA56" s="2" t="s">
        <v>497</v>
      </c>
      <c r="BC56" s="2" t="e" vm="541">
        <f>_xlfn.IMAGE(_xlfn.CONCAT("https://raw.githubusercontent.com/ItsCryp7iC/Genshin-Image-Hosting/main/",BC$1,"/",WeaponMaterialsImg[[#This Row],[Name]],".png"),WeaponMaterialsImg[[#This Row],[Name]])</f>
        <v>#VALUE!</v>
      </c>
      <c r="BD56" s="2" t="s">
        <v>498</v>
      </c>
    </row>
    <row r="57" spans="4:56" ht="30" customHeight="1" x14ac:dyDescent="0.25">
      <c r="D57" s="4" t="e" vm="542">
        <f>_xlfn.IMAGE(_xlfn.CONCAT("https://raw.githubusercontent.com/ItsCryp7iC/Genshin-Image-Hosting/main/",D$1,"/",CharacterDetailsImg[[#This Row],[Name]],".png"),CharacterDetailsImg[[#This Row],[Name]])</f>
        <v>#VALUE!</v>
      </c>
      <c r="E57" s="2" t="s">
        <v>505</v>
      </c>
      <c r="F57" s="2" t="e" vm="479">
        <f t="shared" si="2"/>
        <v>#VALUE!</v>
      </c>
      <c r="G57" s="2" t="e" vm="50">
        <f>$AW$8</f>
        <v>#VALUE!</v>
      </c>
      <c r="H57" s="13">
        <v>1.1000000000000001</v>
      </c>
      <c r="I57" s="2" t="e" vm="51">
        <f>$P$6</f>
        <v>#VALUE!</v>
      </c>
      <c r="J57" s="2" t="e" vm="8">
        <f>$T$9</f>
        <v>#VALUE!</v>
      </c>
      <c r="K57" s="2" t="e" vm="338">
        <f>$AF$18</f>
        <v>#VALUE!</v>
      </c>
      <c r="L57" s="3" t="e" vm="54">
        <f>$Z$8</f>
        <v>#VALUE!</v>
      </c>
      <c r="M57" s="2" t="e" vm="283">
        <f>$AI$17</f>
        <v>#VALUE!</v>
      </c>
      <c r="N57" s="5" t="e" vm="56">
        <f>IF(OR(
E57="TravelerAnemo",
E57="TravelerGeo",
E57="TravelerElectro",
E57="TravelerDendro",
E57="TravelerHydro",
E57="TravelerPyro",
E57="TravelerCryo"),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7" s="2" t="e" vm="543">
        <f>_xlfn.IMAGE(_xlfn.CONCAT("https://raw.githubusercontent.com/ItsCryp7iC/Genshin-Image-Hosting/main/",AZ$1,"/",WeaponsImg[[#This Row],[Name]],".png"),WeaponsImg[[#This Row],[Name]])</f>
        <v>#VALUE!</v>
      </c>
      <c r="BA57" s="2" t="s">
        <v>500</v>
      </c>
      <c r="BC57" s="2" t="e" vm="544">
        <f>_xlfn.IMAGE(_xlfn.CONCAT("https://raw.githubusercontent.com/ItsCryp7iC/Genshin-Image-Hosting/main/",BC$1,"/",WeaponMaterialsImg[[#This Row],[Name]],".png"),WeaponMaterialsImg[[#This Row],[Name]])</f>
        <v>#VALUE!</v>
      </c>
      <c r="BD57" s="2" t="s">
        <v>501</v>
      </c>
    </row>
    <row r="58" spans="4:56" ht="30" customHeight="1" x14ac:dyDescent="0.25">
      <c r="D58" s="4" t="e" vm="545">
        <f>_xlfn.IMAGE(_xlfn.CONCAT("https://raw.githubusercontent.com/ItsCryp7iC/Genshin-Image-Hosting/main/",D$1,"/",CharacterDetailsImg[[#This Row],[Name]],".png"),CharacterDetailsImg[[#This Row],[Name]])</f>
        <v>#VALUE!</v>
      </c>
      <c r="E58" s="2" t="s">
        <v>508</v>
      </c>
      <c r="F58" s="2" t="e" vm="546">
        <f>$AT$5</f>
        <v>#VALUE!</v>
      </c>
      <c r="G58" s="2" t="e" vm="50">
        <f>$AW$8</f>
        <v>#VALUE!</v>
      </c>
      <c r="H58" s="13">
        <v>4.5999999999999996</v>
      </c>
      <c r="I58" s="2" t="e" vm="547">
        <f>$P$33</f>
        <v>#VALUE!</v>
      </c>
      <c r="J58" s="2" t="e" vm="548">
        <f>$T$30</f>
        <v>#VALUE!</v>
      </c>
      <c r="K58" s="2" t="e" vm="260">
        <f>$AF$45</f>
        <v>#VALUE!</v>
      </c>
      <c r="L58" s="3" t="e" vm="435">
        <f>$Z$7</f>
        <v>#VALUE!</v>
      </c>
      <c r="M58" s="2" t="e" vm="436">
        <f>$AI$41</f>
        <v>#VALUE!</v>
      </c>
      <c r="N58" s="5" t="e" vm="56">
        <f>IF(OR(
E58="TravelerAnemo",
E58="TravelerGeo",
E58="TravelerElectro",
E58="TravelerDendro",
E58="TravelerHydro",
E58="TravelerPyro",
E58="TravelerCryo"),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8" s="2" t="e" vm="549">
        <f>_xlfn.IMAGE(_xlfn.CONCAT("https://raw.githubusercontent.com/ItsCryp7iC/Genshin-Image-Hosting/main/",AZ$1,"/",WeaponsImg[[#This Row],[Name]],".png"),WeaponsImg[[#This Row],[Name]])</f>
        <v>#VALUE!</v>
      </c>
      <c r="BA58" s="2" t="s">
        <v>503</v>
      </c>
      <c r="BC58" s="2" t="e" vm="550">
        <f>_xlfn.IMAGE(_xlfn.CONCAT("https://raw.githubusercontent.com/ItsCryp7iC/Genshin-Image-Hosting/main/",BC$1,"/",WeaponMaterialsImg[[#This Row],[Name]],".png"),WeaponMaterialsImg[[#This Row],[Name]])</f>
        <v>#VALUE!</v>
      </c>
      <c r="BD58" s="2" t="s">
        <v>504</v>
      </c>
    </row>
    <row r="59" spans="4:56" ht="30" customHeight="1" x14ac:dyDescent="0.25">
      <c r="D59" s="4" t="e" vm="551">
        <f>_xlfn.IMAGE(_xlfn.CONCAT("https://raw.githubusercontent.com/ItsCryp7iC/Genshin-Image-Hosting/main/",D$1,"/",CharacterDetailsImg[[#This Row],[Name]],".png"),CharacterDetailsImg[[#This Row],[Name]])</f>
        <v>#VALUE!</v>
      </c>
      <c r="E59" s="2" t="s">
        <v>511</v>
      </c>
      <c r="F59" s="2" t="e" vm="552">
        <f t="shared" ref="F59:F75" si="3">$AT$7</f>
        <v>#VALUE!</v>
      </c>
      <c r="G59" s="2" t="e" vm="28">
        <f>$AW$6</f>
        <v>#VALUE!</v>
      </c>
      <c r="H59" s="13">
        <v>3.6</v>
      </c>
      <c r="I59" s="2" t="e" vm="225">
        <f>$P$25</f>
        <v>#VALUE!</v>
      </c>
      <c r="J59" s="2" t="e" vm="328">
        <f>$T$24</f>
        <v>#VALUE!</v>
      </c>
      <c r="K59" s="2" t="e" vm="338">
        <f>$AF$18</f>
        <v>#VALUE!</v>
      </c>
      <c r="L59" s="2" t="e" vm="272">
        <f>$Z$12</f>
        <v>#VALUE!</v>
      </c>
      <c r="M59" s="2" t="e" vm="283">
        <f>$AI$17</f>
        <v>#VALUE!</v>
      </c>
      <c r="N59" s="5" t="e" vm="34">
        <f>IF(OR(
E59="TravelerAnemo",
E59="TravelerGeo",
E59="TravelerElectro",
E59="TravelerDendro",
E59="TravelerHydro",
E59="TravelerPyro",
E59="TravelerCryo"),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59" s="2" t="e" vm="553">
        <f>_xlfn.IMAGE(_xlfn.CONCAT("https://raw.githubusercontent.com/ItsCryp7iC/Genshin-Image-Hosting/main/",AZ$1,"/",WeaponsImg[[#This Row],[Name]],".png"),WeaponsImg[[#This Row],[Name]])</f>
        <v>#VALUE!</v>
      </c>
      <c r="BA59" s="2" t="s">
        <v>506</v>
      </c>
      <c r="BC59" s="2" t="e" vm="554">
        <f>_xlfn.IMAGE(_xlfn.CONCAT("https://raw.githubusercontent.com/ItsCryp7iC/Genshin-Image-Hosting/main/",BC$1,"/",WeaponMaterialsImg[[#This Row],[Name]],".png"),WeaponMaterialsImg[[#This Row],[Name]])</f>
        <v>#VALUE!</v>
      </c>
      <c r="BD59" s="2" t="s">
        <v>507</v>
      </c>
    </row>
    <row r="60" spans="4:56" ht="30" customHeight="1" x14ac:dyDescent="0.25">
      <c r="D60" s="4" t="e" vm="555">
        <f>_xlfn.IMAGE(_xlfn.CONCAT("https://raw.githubusercontent.com/ItsCryp7iC/Genshin-Image-Hosting/main/",D$1,"/",CharacterDetailsImg[[#This Row],[Name]],".png"),CharacterDetailsImg[[#This Row],[Name]])</f>
        <v>#VALUE!</v>
      </c>
      <c r="E60" s="2" t="s">
        <v>514</v>
      </c>
      <c r="F60" s="2" t="e" vm="552">
        <f t="shared" si="3"/>
        <v>#VALUE!</v>
      </c>
      <c r="G60" s="2" t="e" vm="112">
        <f>$AW$7</f>
        <v>#VALUE!</v>
      </c>
      <c r="H60" s="13">
        <v>1</v>
      </c>
      <c r="I60" s="2" t="e" vm="337">
        <f>$P$7</f>
        <v>#VALUE!</v>
      </c>
      <c r="J60" s="2" t="e" vm="211">
        <f>$T$7</f>
        <v>#VALUE!</v>
      </c>
      <c r="K60" s="2" t="e" vm="351">
        <f>$AF$3</f>
        <v>#VALUE!</v>
      </c>
      <c r="L60" s="2" t="e" vm="10">
        <f>$Z$5</f>
        <v>#VALUE!</v>
      </c>
      <c r="M60" s="2" t="e" vm="556">
        <f>$AI$7</f>
        <v>#VALUE!</v>
      </c>
      <c r="N60" s="5" t="e" vm="117">
        <f>IF(OR(
E60="TravelerAnemo",
E60="TravelerGeo",
E60="TravelerElectro",
E60="TravelerDendro",
E60="TravelerHydro",
E60="TravelerPyro",
E60="TravelerCryo"),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0" s="2" t="e" vm="557">
        <f>_xlfn.IMAGE(_xlfn.CONCAT("https://raw.githubusercontent.com/ItsCryp7iC/Genshin-Image-Hosting/main/",AZ$1,"/",WeaponsImg[[#This Row],[Name]],".png"),WeaponsImg[[#This Row],[Name]])</f>
        <v>#VALUE!</v>
      </c>
      <c r="BA60" s="2" t="s">
        <v>509</v>
      </c>
      <c r="BC60" s="2" t="e" vm="558">
        <f>_xlfn.IMAGE(_xlfn.CONCAT("https://raw.githubusercontent.com/ItsCryp7iC/Genshin-Image-Hosting/main/",BC$1,"/",WeaponMaterialsImg[[#This Row],[Name]],".png"),WeaponMaterialsImg[[#This Row],[Name]])</f>
        <v>#VALUE!</v>
      </c>
      <c r="BD60" s="2" t="s">
        <v>510</v>
      </c>
    </row>
    <row r="61" spans="4:56" ht="30" customHeight="1" x14ac:dyDescent="0.25">
      <c r="D61" s="4" t="e" vm="559">
        <f>_xlfn.IMAGE(_xlfn.CONCAT("https://raw.githubusercontent.com/ItsCryp7iC/Genshin-Image-Hosting/main/",D$1,"/",CharacterDetailsImg[[#This Row],[Name]],".png"),CharacterDetailsImg[[#This Row],[Name]])</f>
        <v>#VALUE!</v>
      </c>
      <c r="E61" s="2" t="s">
        <v>517</v>
      </c>
      <c r="F61" s="2" t="e" vm="552">
        <f t="shared" si="3"/>
        <v>#VALUE!</v>
      </c>
      <c r="G61" s="2" t="e" vm="165">
        <f>$AW$9</f>
        <v>#VALUE!</v>
      </c>
      <c r="H61" s="13">
        <v>4.2</v>
      </c>
      <c r="I61" s="2" t="e" vm="560">
        <f>$P$29</f>
        <v>#VALUE!</v>
      </c>
      <c r="J61" s="2" t="e" vm="73">
        <f>$T$27</f>
        <v>#VALUE!</v>
      </c>
      <c r="K61" s="2" t="e" vm="94">
        <f>$AF$42</f>
        <v>#VALUE!</v>
      </c>
      <c r="L61" s="2" t="e" vm="261">
        <f>$Z$15</f>
        <v>#VALUE!</v>
      </c>
      <c r="M61" s="2" t="e" vm="561">
        <f>$AI$38</f>
        <v>#VALUE!</v>
      </c>
      <c r="N61" s="5" t="e" vm="169">
        <f>IF(OR(
E61="TravelerAnemo",
E61="TravelerGeo",
E61="TravelerElectro",
E61="TravelerDendro",
E61="TravelerHydro",
E61="TravelerPyro",
E61="TravelerCryo"),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1" s="2" t="e" vm="562">
        <f>_xlfn.IMAGE(_xlfn.CONCAT("https://raw.githubusercontent.com/ItsCryp7iC/Genshin-Image-Hosting/main/",AZ$1,"/",WeaponsImg[[#This Row],[Name]],".png"),WeaponsImg[[#This Row],[Name]])</f>
        <v>#VALUE!</v>
      </c>
      <c r="BA61" s="2" t="s">
        <v>512</v>
      </c>
      <c r="BC61" s="2" t="e" vm="563">
        <f>_xlfn.IMAGE(_xlfn.CONCAT("https://raw.githubusercontent.com/ItsCryp7iC/Genshin-Image-Hosting/main/",BC$1,"/",WeaponMaterialsImg[[#This Row],[Name]],".png"),WeaponMaterialsImg[[#This Row],[Name]])</f>
        <v>#VALUE!</v>
      </c>
      <c r="BD61" s="2" t="s">
        <v>513</v>
      </c>
    </row>
    <row r="62" spans="4:56" ht="30" customHeight="1" x14ac:dyDescent="0.25">
      <c r="D62" s="4" t="e" vm="564">
        <f>_xlfn.IMAGE(_xlfn.CONCAT("https://raw.githubusercontent.com/ItsCryp7iC/Genshin-Image-Hosting/main/",D$1,"/",CharacterDetailsImg[[#This Row],[Name]],".png"),CharacterDetailsImg[[#This Row],[Name]])</f>
        <v>#VALUE!</v>
      </c>
      <c r="E62" s="2" t="s">
        <v>519</v>
      </c>
      <c r="F62" s="2" t="e" vm="552">
        <f t="shared" si="3"/>
        <v>#VALUE!</v>
      </c>
      <c r="G62" s="2" t="e" vm="50">
        <f>$AW$8</f>
        <v>#VALUE!</v>
      </c>
      <c r="H62" s="13">
        <v>1</v>
      </c>
      <c r="I62" s="2" t="e" vm="51">
        <f>$P$6</f>
        <v>#VALUE!</v>
      </c>
      <c r="J62" s="2" t="e" vm="211">
        <f>$T$7</f>
        <v>#VALUE!</v>
      </c>
      <c r="K62" s="2" t="e" vm="351">
        <f>$AF$3</f>
        <v>#VALUE!</v>
      </c>
      <c r="L62" s="2" t="e" vm="10">
        <f>$Z$5</f>
        <v>#VALUE!</v>
      </c>
      <c r="M62" s="2" t="e" vm="556">
        <f>$AI$7</f>
        <v>#VALUE!</v>
      </c>
      <c r="N62" s="5" t="e" vm="56">
        <f>IF(OR(
E62="TravelerAnemo",
E62="TravelerGeo",
E62="TravelerElectro",
E62="TravelerDendro",
E62="TravelerHydro",
E62="TravelerPyro",
E62="TravelerCryo"),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2" s="2" t="e" vm="565">
        <f>_xlfn.IMAGE(_xlfn.CONCAT("https://raw.githubusercontent.com/ItsCryp7iC/Genshin-Image-Hosting/main/",AZ$1,"/",WeaponsImg[[#This Row],[Name]],".png"),WeaponsImg[[#This Row],[Name]])</f>
        <v>#VALUE!</v>
      </c>
      <c r="BA62" s="2" t="s">
        <v>515</v>
      </c>
      <c r="BC62" s="2" t="e" vm="566">
        <f>_xlfn.IMAGE(_xlfn.CONCAT("https://raw.githubusercontent.com/ItsCryp7iC/Genshin-Image-Hosting/main/",BC$1,"/",WeaponMaterialsImg[[#This Row],[Name]],".png"),WeaponMaterialsImg[[#This Row],[Name]])</f>
        <v>#VALUE!</v>
      </c>
      <c r="BD62" s="2" t="s">
        <v>516</v>
      </c>
    </row>
    <row r="63" spans="4:56" ht="30" customHeight="1" x14ac:dyDescent="0.25">
      <c r="D63" s="4" t="e" vm="567">
        <f>_xlfn.IMAGE(_xlfn.CONCAT("https://raw.githubusercontent.com/ItsCryp7iC/Genshin-Image-Hosting/main/",D$1,"/",CharacterDetailsImg[[#This Row],[Name]],".png"),CharacterDetailsImg[[#This Row],[Name]])</f>
        <v>#VALUE!</v>
      </c>
      <c r="E63" s="2" t="s">
        <v>521</v>
      </c>
      <c r="F63" s="2" t="e" vm="552">
        <f t="shared" si="3"/>
        <v>#VALUE!</v>
      </c>
      <c r="G63" s="2" t="e" vm="91">
        <f>$AW$5</f>
        <v>#VALUE!</v>
      </c>
      <c r="H63" s="13">
        <v>1</v>
      </c>
      <c r="I63" s="2" t="e" vm="210">
        <f>$P$4</f>
        <v>#VALUE!</v>
      </c>
      <c r="J63" s="2" t="e" vm="531">
        <f>$T$4</f>
        <v>#VALUE!</v>
      </c>
      <c r="K63" s="2" t="e" vm="9">
        <f>$AF$9</f>
        <v>#VALUE!</v>
      </c>
      <c r="L63" s="2" t="e" vm="462">
        <f>$Z$3</f>
        <v>#VALUE!</v>
      </c>
      <c r="M63" s="2" t="e" vm="532">
        <f>$AI$4</f>
        <v>#VALUE!</v>
      </c>
      <c r="N63" s="5" t="e" vm="97">
        <f>IF(OR(
E63="TravelerAnemo",
E63="TravelerGeo",
E63="TravelerElectro",
E63="TravelerDendro",
E63="TravelerHydro",
E63="TravelerPyro",
E63="TravelerCryo"),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3" s="2" t="e" vm="568">
        <f>_xlfn.IMAGE(_xlfn.CONCAT("https://raw.githubusercontent.com/ItsCryp7iC/Genshin-Image-Hosting/main/",AZ$1,"/",WeaponsImg[[#This Row],[Name]],".png"),WeaponsImg[[#This Row],[Name]])</f>
        <v>#VALUE!</v>
      </c>
      <c r="BA63" s="2" t="s">
        <v>518</v>
      </c>
    </row>
    <row r="64" spans="4:56" ht="30" customHeight="1" x14ac:dyDescent="0.25">
      <c r="D64" s="4" t="e" vm="569">
        <f>_xlfn.IMAGE(_xlfn.CONCAT("https://raw.githubusercontent.com/ItsCryp7iC/Genshin-Image-Hosting/main/",D$1,"/",CharacterDetailsImg[[#This Row],[Name]],".png"),CharacterDetailsImg[[#This Row],[Name]])</f>
        <v>#VALUE!</v>
      </c>
      <c r="E64" s="2" t="s">
        <v>523</v>
      </c>
      <c r="F64" s="2" t="e" vm="552">
        <f t="shared" si="3"/>
        <v>#VALUE!</v>
      </c>
      <c r="G64" s="2" t="e" vm="112">
        <f>$AW$7</f>
        <v>#VALUE!</v>
      </c>
      <c r="H64" s="13">
        <v>1</v>
      </c>
      <c r="I64" s="2" t="e" vm="337">
        <f>$P$7</f>
        <v>#VALUE!</v>
      </c>
      <c r="J64" s="2" t="e" vm="211">
        <f>$T$7</f>
        <v>#VALUE!</v>
      </c>
      <c r="K64" s="2" t="e" vm="53">
        <f>$AF$6</f>
        <v>#VALUE!</v>
      </c>
      <c r="L64" s="2" t="e" vm="115">
        <f>$Z$9</f>
        <v>#VALUE!</v>
      </c>
      <c r="M64" s="2" t="e" vm="556">
        <f>$AI$7</f>
        <v>#VALUE!</v>
      </c>
      <c r="N64" s="5" t="e" vm="117">
        <f>IF(OR(
E64="TravelerAnemo",
E64="TravelerGeo",
E64="TravelerElectro",
E64="TravelerDendro",
E64="TravelerHydro",
E64="TravelerPyro",
E64="TravelerCryo"),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4" s="2" t="e" vm="570">
        <f>_xlfn.IMAGE(_xlfn.CONCAT("https://raw.githubusercontent.com/ItsCryp7iC/Genshin-Image-Hosting/main/",AZ$1,"/",WeaponsImg[[#This Row],[Name]],".png"),WeaponsImg[[#This Row],[Name]])</f>
        <v>#VALUE!</v>
      </c>
      <c r="BA64" s="2" t="s">
        <v>520</v>
      </c>
    </row>
    <row r="65" spans="4:53" ht="30" customHeight="1" x14ac:dyDescent="0.25">
      <c r="D65" s="4" t="e" vm="571">
        <f>_xlfn.IMAGE(_xlfn.CONCAT("https://raw.githubusercontent.com/ItsCryp7iC/Genshin-Image-Hosting/main/",D$1,"/",CharacterDetailsImg[[#This Row],[Name]],".png"),CharacterDetailsImg[[#This Row],[Name]])</f>
        <v>#VALUE!</v>
      </c>
      <c r="E65" s="2" t="s">
        <v>525</v>
      </c>
      <c r="F65" s="2" t="e" vm="552">
        <f t="shared" si="3"/>
        <v>#VALUE!</v>
      </c>
      <c r="G65" s="2" t="e" vm="28">
        <f>$AW$6</f>
        <v>#VALUE!</v>
      </c>
      <c r="H65" s="13">
        <v>3.2</v>
      </c>
      <c r="I65" s="2" t="e" vm="522">
        <f>$P$23</f>
        <v>#VALUE!</v>
      </c>
      <c r="J65" s="2" t="e" vm="390">
        <f>$T$21</f>
        <v>#VALUE!</v>
      </c>
      <c r="K65" s="2" t="e" vm="31">
        <f>$AF$33</f>
        <v>#VALUE!</v>
      </c>
      <c r="L65" s="2" t="e" vm="272">
        <f>$Z$12</f>
        <v>#VALUE!</v>
      </c>
      <c r="M65" s="2" t="e" vm="507">
        <f>$AI$32</f>
        <v>#VALUE!</v>
      </c>
      <c r="N65" s="5" t="e" vm="34">
        <f>IF(OR(
E65="TravelerAnemo",
E65="TravelerGeo",
E65="TravelerElectro",
E65="TravelerDendro",
E65="TravelerHydro",
E65="TravelerPyro",
E65="TravelerCryo"),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5" s="2" t="e" vm="572">
        <f>_xlfn.IMAGE(_xlfn.CONCAT("https://raw.githubusercontent.com/ItsCryp7iC/Genshin-Image-Hosting/main/",AZ$1,"/",WeaponsImg[[#This Row],[Name]],".png"),WeaponsImg[[#This Row],[Name]])</f>
        <v>#VALUE!</v>
      </c>
      <c r="BA65" s="2" t="s">
        <v>522</v>
      </c>
    </row>
    <row r="66" spans="4:53" ht="30" customHeight="1" x14ac:dyDescent="0.25">
      <c r="D66" s="4" t="e" vm="573">
        <f>_xlfn.IMAGE(_xlfn.CONCAT("https://raw.githubusercontent.com/ItsCryp7iC/Genshin-Image-Hosting/main/",D$1,"/",CharacterDetailsImg[[#This Row],[Name]],".png"),CharacterDetailsImg[[#This Row],[Name]])</f>
        <v>#VALUE!</v>
      </c>
      <c r="E66" s="2" t="s">
        <v>527</v>
      </c>
      <c r="F66" s="2" t="e" vm="552">
        <f t="shared" si="3"/>
        <v>#VALUE!</v>
      </c>
      <c r="G66" s="2" t="e" vm="112">
        <f>$AW$7</f>
        <v>#VALUE!</v>
      </c>
      <c r="H66" s="13">
        <v>4.0999999999999996</v>
      </c>
      <c r="I66" s="2" t="e" vm="92">
        <f>$P$30</f>
        <v>#VALUE!</v>
      </c>
      <c r="J66" s="2" t="e" vm="93">
        <f>$T$26</f>
        <v>#VALUE!</v>
      </c>
      <c r="K66" s="2" t="e" vm="434">
        <f>$AF$39</f>
        <v>#VALUE!</v>
      </c>
      <c r="L66" s="2" t="e" vm="95">
        <f>$Z$14</f>
        <v>#VALUE!</v>
      </c>
      <c r="M66" s="2" t="e" vm="96">
        <f>$AI$42</f>
        <v>#VALUE!</v>
      </c>
      <c r="N66" s="5" t="e" vm="117">
        <f>IF(OR(
E66="TravelerAnemo",
E66="TravelerGeo",
E66="TravelerElectro",
E66="TravelerDendro",
E66="TravelerHydro",
E66="TravelerPyro",
E66="TravelerCryo"),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6" s="2" t="e" vm="574">
        <f>_xlfn.IMAGE(_xlfn.CONCAT("https://raw.githubusercontent.com/ItsCryp7iC/Genshin-Image-Hosting/main/",AZ$1,"/",WeaponsImg[[#This Row],[Name]],".png"),WeaponsImg[[#This Row],[Name]])</f>
        <v>#VALUE!</v>
      </c>
      <c r="BA66" s="2" t="s">
        <v>524</v>
      </c>
    </row>
    <row r="67" spans="4:53" ht="30" customHeight="1" x14ac:dyDescent="0.25">
      <c r="D67" s="4" t="e" vm="575">
        <f>_xlfn.IMAGE(_xlfn.CONCAT("https://raw.githubusercontent.com/ItsCryp7iC/Genshin-Image-Hosting/main/",D$1,"/",CharacterDetailsImg[[#This Row],[Name]],".png"),CharacterDetailsImg[[#This Row],[Name]])</f>
        <v>#VALUE!</v>
      </c>
      <c r="E67" s="2" t="s">
        <v>529</v>
      </c>
      <c r="F67" s="2" t="e" vm="552">
        <f t="shared" si="3"/>
        <v>#VALUE!</v>
      </c>
      <c r="G67" s="2" t="e" vm="6">
        <f>$AW$4</f>
        <v>#VALUE!</v>
      </c>
      <c r="H67" s="13">
        <v>1</v>
      </c>
      <c r="I67" s="2" t="e" vm="7">
        <f>$P$8</f>
        <v>#VALUE!</v>
      </c>
      <c r="J67" s="2" t="e" vm="167">
        <f>$T$8</f>
        <v>#VALUE!</v>
      </c>
      <c r="K67" s="2" t="e" vm="212">
        <f>$AF$12</f>
        <v>#VALUE!</v>
      </c>
      <c r="L67" s="3" t="e" vm="435">
        <f>$Z$7</f>
        <v>#VALUE!</v>
      </c>
      <c r="M67" s="2" t="e" vm="576">
        <f>$AI$14</f>
        <v>#VALUE!</v>
      </c>
      <c r="N67" s="5" t="e" vm="12">
        <f>IF(OR(
E67="TravelerAnemo",
E67="TravelerGeo",
E67="TravelerElectro",
E67="TravelerDendro",
E67="TravelerHydro",
E67="TravelerPyro",
E67="TravelerCryo"),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7" s="2" t="e" vm="577">
        <f>_xlfn.IMAGE(_xlfn.CONCAT("https://raw.githubusercontent.com/ItsCryp7iC/Genshin-Image-Hosting/main/",AZ$1,"/",WeaponsImg[[#This Row],[Name]],".png"),WeaponsImg[[#This Row],[Name]])</f>
        <v>#VALUE!</v>
      </c>
      <c r="BA67" s="2" t="s">
        <v>526</v>
      </c>
    </row>
    <row r="68" spans="4:53" ht="30" customHeight="1" x14ac:dyDescent="0.25">
      <c r="D68" s="4" t="e" vm="578">
        <f>_xlfn.IMAGE(_xlfn.CONCAT("https://raw.githubusercontent.com/ItsCryp7iC/Genshin-Image-Hosting/main/",D$1,"/",CharacterDetailsImg[[#This Row],[Name]],".png"),CharacterDetailsImg[[#This Row],[Name]])</f>
        <v>#VALUE!</v>
      </c>
      <c r="E68" s="2" t="s">
        <v>531</v>
      </c>
      <c r="F68" s="2" t="e" vm="552">
        <f t="shared" si="3"/>
        <v>#VALUE!</v>
      </c>
      <c r="G68" s="2" t="e" vm="112">
        <f>$AW$7</f>
        <v>#VALUE!</v>
      </c>
      <c r="H68" s="13">
        <v>2.1</v>
      </c>
      <c r="I68" s="2" t="e" vm="197">
        <f>$P$14</f>
        <v>#VALUE!</v>
      </c>
      <c r="J68" s="2" t="e" vm="579">
        <f>$T$16</f>
        <v>#VALUE!</v>
      </c>
      <c r="K68" s="2" t="e" vm="226">
        <f>$AF$21</f>
        <v>#VALUE!</v>
      </c>
      <c r="L68" s="2" t="e" vm="75">
        <f>$Z$11</f>
        <v>#VALUE!</v>
      </c>
      <c r="M68" s="2" t="e" vm="417">
        <f>$AI$26</f>
        <v>#VALUE!</v>
      </c>
      <c r="N68" s="5" t="e" vm="117">
        <f>IF(OR(
E68="TravelerAnemo",
E68="TravelerGeo",
E68="TravelerElectro",
E68="TravelerDendro",
E68="TravelerHydro",
E68="TravelerPyro",
E68="TravelerCryo"),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8" s="2" t="e" vm="580">
        <f>_xlfn.IMAGE(_xlfn.CONCAT("https://raw.githubusercontent.com/ItsCryp7iC/Genshin-Image-Hosting/main/",AZ$1,"/",WeaponsImg[[#This Row],[Name]],".png"),WeaponsImg[[#This Row],[Name]])</f>
        <v>#VALUE!</v>
      </c>
      <c r="BA68" s="2" t="s">
        <v>528</v>
      </c>
    </row>
    <row r="69" spans="4:53" ht="30" customHeight="1" x14ac:dyDescent="0.25">
      <c r="D69" s="4" t="e" vm="581">
        <f>_xlfn.IMAGE(_xlfn.CONCAT("https://raw.githubusercontent.com/ItsCryp7iC/Genshin-Image-Hosting/main/",D$1,"/",CharacterDetailsImg[[#This Row],[Name]],".png"),CharacterDetailsImg[[#This Row],[Name]])</f>
        <v>#VALUE!</v>
      </c>
      <c r="E69" s="2" t="s">
        <v>533</v>
      </c>
      <c r="F69" s="2" t="e" vm="552">
        <f t="shared" si="3"/>
        <v>#VALUE!</v>
      </c>
      <c r="G69" s="2" t="e" vm="131">
        <f>$AW$3</f>
        <v>#VALUE!</v>
      </c>
      <c r="H69" s="13">
        <v>2.8</v>
      </c>
      <c r="I69" s="2" t="e" vm="239">
        <f>$P$18</f>
        <v>#VALUE!</v>
      </c>
      <c r="J69" s="2" t="e" vm="456">
        <f>$T$20</f>
        <v>#VALUE!</v>
      </c>
      <c r="K69" s="2" t="e" vm="226">
        <f>$AF$21</f>
        <v>#VALUE!</v>
      </c>
      <c r="L69" s="3" t="e" vm="54">
        <f>$Z$8</f>
        <v>#VALUE!</v>
      </c>
      <c r="M69" s="2" t="e" vm="481">
        <f>$AI$20</f>
        <v>#VALUE!</v>
      </c>
      <c r="N69" s="5" t="e" vm="135">
        <f>IF(OR(
E69="TravelerAnemo",
E69="TravelerGeo",
E69="TravelerElectro",
E69="TravelerDendro",
E69="TravelerHydro",
E69="TravelerPyro",
E69="TravelerCryo"),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69" s="2" t="e" vm="582">
        <f>_xlfn.IMAGE(_xlfn.CONCAT("https://raw.githubusercontent.com/ItsCryp7iC/Genshin-Image-Hosting/main/",AZ$1,"/",WeaponsImg[[#This Row],[Name]],".png"),WeaponsImg[[#This Row],[Name]])</f>
        <v>#VALUE!</v>
      </c>
      <c r="BA69" s="2" t="s">
        <v>530</v>
      </c>
    </row>
    <row r="70" spans="4:53" ht="30" customHeight="1" x14ac:dyDescent="0.25">
      <c r="D70" s="4" t="e" vm="583">
        <f>_xlfn.IMAGE(_xlfn.CONCAT("https://raw.githubusercontent.com/ItsCryp7iC/Genshin-Image-Hosting/main/",D$1,"/",CharacterDetailsImg[[#This Row],[Name]],".png"),CharacterDetailsImg[[#This Row],[Name]])</f>
        <v>#VALUE!</v>
      </c>
      <c r="E70" s="2" t="s">
        <v>535</v>
      </c>
      <c r="F70" s="2" t="e" vm="552">
        <f t="shared" si="3"/>
        <v>#VALUE!</v>
      </c>
      <c r="G70" s="2" t="e" vm="131">
        <f>$AW$3</f>
        <v>#VALUE!</v>
      </c>
      <c r="H70" s="13">
        <v>1</v>
      </c>
      <c r="I70" s="2" t="e" vm="132">
        <f>$P$3</f>
        <v>#VALUE!</v>
      </c>
      <c r="J70" s="2" t="e" vm="167">
        <f>$T$8</f>
        <v>#VALUE!</v>
      </c>
      <c r="K70" s="2" t="e" vm="351">
        <f>$AF$3</f>
        <v>#VALUE!</v>
      </c>
      <c r="L70" s="2" t="e" vm="115">
        <f>$Z$9</f>
        <v>#VALUE!</v>
      </c>
      <c r="M70" s="2" t="e" vm="55">
        <f>$AI$6</f>
        <v>#VALUE!</v>
      </c>
      <c r="N70" s="5" t="e" vm="135">
        <f>IF(OR(
E70="TravelerAnemo",
E70="TravelerGeo",
E70="TravelerElectro",
E70="TravelerDendro",
E70="TravelerHydro",
E70="TravelerPyro",
E70="TravelerCryo"),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0" s="2" t="e" vm="584">
        <f>_xlfn.IMAGE(_xlfn.CONCAT("https://raw.githubusercontent.com/ItsCryp7iC/Genshin-Image-Hosting/main/",AZ$1,"/",WeaponsImg[[#This Row],[Name]],".png"),WeaponsImg[[#This Row],[Name]])</f>
        <v>#VALUE!</v>
      </c>
      <c r="BA70" s="2" t="s">
        <v>532</v>
      </c>
    </row>
    <row r="71" spans="4:53" ht="30" customHeight="1" x14ac:dyDescent="0.25">
      <c r="D71" s="4" t="e" vm="585">
        <f>_xlfn.IMAGE(_xlfn.CONCAT("https://raw.githubusercontent.com/ItsCryp7iC/Genshin-Image-Hosting/main/",D$1,"/",CharacterDetailsImg[[#This Row],[Name]],".png"),CharacterDetailsImg[[#This Row],[Name]])</f>
        <v>#VALUE!</v>
      </c>
      <c r="E71" s="2" t="s">
        <v>537</v>
      </c>
      <c r="F71" s="2" t="e" vm="552">
        <f t="shared" si="3"/>
        <v>#VALUE!</v>
      </c>
      <c r="G71" s="2" t="e" vm="131">
        <f>$AW$3</f>
        <v>#VALUE!</v>
      </c>
      <c r="H71" s="13">
        <v>3.3</v>
      </c>
      <c r="I71" s="2" t="e" vm="250">
        <f>$P$21</f>
        <v>#VALUE!</v>
      </c>
      <c r="J71" s="2" t="e" vm="443">
        <f>$T$23</f>
        <v>#VALUE!</v>
      </c>
      <c r="K71" s="2" t="e" vm="271">
        <f>$AF$36</f>
        <v>#VALUE!</v>
      </c>
      <c r="L71" s="2" t="e" vm="184">
        <f>$Z$10</f>
        <v>#VALUE!</v>
      </c>
      <c r="M71" s="2" t="e" vm="371">
        <f>$AI$29</f>
        <v>#VALUE!</v>
      </c>
      <c r="N71" s="5" t="e" vm="135">
        <f>IF(OR(
E71="TravelerAnemo",
E71="TravelerGeo",
E71="TravelerElectro",
E71="TravelerDendro",
E71="TravelerHydro",
E71="TravelerPyro",
E71="TravelerCryo"),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1" s="2" t="e" vm="586">
        <f>_xlfn.IMAGE(_xlfn.CONCAT("https://raw.githubusercontent.com/ItsCryp7iC/Genshin-Image-Hosting/main/",AZ$1,"/",WeaponsImg[[#This Row],[Name]],".png"),WeaponsImg[[#This Row],[Name]])</f>
        <v>#VALUE!</v>
      </c>
      <c r="BA71" s="2" t="s">
        <v>534</v>
      </c>
    </row>
    <row r="72" spans="4:53" ht="30" customHeight="1" x14ac:dyDescent="0.25">
      <c r="D72" s="4" t="e" vm="587">
        <f>_xlfn.IMAGE(_xlfn.CONCAT("https://raw.githubusercontent.com/ItsCryp7iC/Genshin-Image-Hosting/main/",D$1,"/",CharacterDetailsImg[[#This Row],[Name]],".png"),CharacterDetailsImg[[#This Row],[Name]])</f>
        <v>#VALUE!</v>
      </c>
      <c r="E72" s="2" t="s">
        <v>539</v>
      </c>
      <c r="F72" s="2" t="e" vm="552">
        <f t="shared" si="3"/>
        <v>#VALUE!</v>
      </c>
      <c r="G72" s="2" t="e" vm="165">
        <f>$AW$9</f>
        <v>#VALUE!</v>
      </c>
      <c r="H72" s="13">
        <v>4.0999999999999996</v>
      </c>
      <c r="I72" s="2" t="e" vm="560">
        <f>$P$29</f>
        <v>#VALUE!</v>
      </c>
      <c r="J72" s="2" t="e" vm="433">
        <f>$T$25</f>
        <v>#VALUE!</v>
      </c>
      <c r="K72" s="2" t="e" vm="260">
        <f>$AF$45</f>
        <v>#VALUE!</v>
      </c>
      <c r="L72" s="2" t="e" vm="261">
        <f>$Z$15</f>
        <v>#VALUE!</v>
      </c>
      <c r="M72" s="2" t="e" vm="588">
        <f>$AI$44</f>
        <v>#VALUE!</v>
      </c>
      <c r="N72" s="5" t="e" vm="169">
        <f>IF(OR(
E72="TravelerAnemo",
E72="TravelerGeo",
E72="TravelerElectro",
E72="TravelerDendro",
E72="TravelerHydro",
E72="TravelerPyro",
E72="TravelerCryo"),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2" s="2" t="e" vm="589">
        <f>_xlfn.IMAGE(_xlfn.CONCAT("https://raw.githubusercontent.com/ItsCryp7iC/Genshin-Image-Hosting/main/",AZ$1,"/",WeaponsImg[[#This Row],[Name]],".png"),WeaponsImg[[#This Row],[Name]])</f>
        <v>#VALUE!</v>
      </c>
      <c r="BA72" s="2" t="s">
        <v>536</v>
      </c>
    </row>
    <row r="73" spans="4:53" ht="30" customHeight="1" x14ac:dyDescent="0.25">
      <c r="D73" s="4" t="e" vm="590">
        <f>_xlfn.IMAGE(_xlfn.CONCAT("https://raw.githubusercontent.com/ItsCryp7iC/Genshin-Image-Hosting/main/",D$1,"/",CharacterDetailsImg[[#This Row],[Name]],".png"),CharacterDetailsImg[[#This Row],[Name]])</f>
        <v>#VALUE!</v>
      </c>
      <c r="E73" s="2" t="s">
        <v>541</v>
      </c>
      <c r="F73" s="2" t="e" vm="552">
        <f t="shared" si="3"/>
        <v>#VALUE!</v>
      </c>
      <c r="G73" s="2" t="e" vm="131">
        <f>$AW$3</f>
        <v>#VALUE!</v>
      </c>
      <c r="H73" s="13">
        <v>4.4000000000000004</v>
      </c>
      <c r="I73" s="2" t="e" vm="442">
        <f>$P$32</f>
        <v>#VALUE!</v>
      </c>
      <c r="J73" s="2" t="e" vm="591">
        <f>$T$28</f>
        <v>#VALUE!</v>
      </c>
      <c r="K73" s="2" t="e" vm="338">
        <f>$AF$18</f>
        <v>#VALUE!</v>
      </c>
      <c r="L73" s="2" t="e" vm="10">
        <f>$Z$5</f>
        <v>#VALUE!</v>
      </c>
      <c r="M73" s="2" t="e" vm="592">
        <f>$AI$19</f>
        <v>#VALUE!</v>
      </c>
      <c r="N73" s="5" t="e" vm="135">
        <f>IF(OR(
E73="TravelerAnemo",
E73="TravelerGeo",
E73="TravelerElectro",
E73="TravelerDendro",
E73="TravelerHydro",
E73="TravelerPyro",
E73="TravelerCryo"),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3" s="2" t="e" vm="593">
        <f>_xlfn.IMAGE(_xlfn.CONCAT("https://raw.githubusercontent.com/ItsCryp7iC/Genshin-Image-Hosting/main/",AZ$1,"/",WeaponsImg[[#This Row],[Name]],".png"),WeaponsImg[[#This Row],[Name]])</f>
        <v>#VALUE!</v>
      </c>
      <c r="BA73" s="2" t="s">
        <v>538</v>
      </c>
    </row>
    <row r="74" spans="4:53" ht="30" customHeight="1" x14ac:dyDescent="0.25">
      <c r="D74" s="4" t="e" vm="594">
        <f>_xlfn.IMAGE(_xlfn.CONCAT("https://raw.githubusercontent.com/ItsCryp7iC/Genshin-Image-Hosting/main/",D$1,"/",CharacterDetailsImg[[#This Row],[Name]],".png"),CharacterDetailsImg[[#This Row],[Name]])</f>
        <v>#VALUE!</v>
      </c>
      <c r="E74" s="2" t="s">
        <v>543</v>
      </c>
      <c r="F74" s="2" t="e" vm="552">
        <f t="shared" si="3"/>
        <v>#VALUE!</v>
      </c>
      <c r="G74" s="2" t="e" vm="91">
        <f>$AW$5</f>
        <v>#VALUE!</v>
      </c>
      <c r="H74" s="13">
        <v>2.5</v>
      </c>
      <c r="I74" s="2" t="e" vm="595">
        <f>$P$17</f>
        <v>#VALUE!</v>
      </c>
      <c r="J74" s="2" t="e" vm="456">
        <f>$T$20</f>
        <v>#VALUE!</v>
      </c>
      <c r="K74" s="2" t="e" vm="74">
        <f>$AF$27</f>
        <v>#VALUE!</v>
      </c>
      <c r="L74" s="2" t="e" vm="184">
        <f>$Z$10</f>
        <v>#VALUE!</v>
      </c>
      <c r="M74" s="2" t="e" vm="152">
        <f>$AI$25</f>
        <v>#VALUE!</v>
      </c>
      <c r="N74" s="5" t="e" vm="97">
        <f>IF(OR(
E74="TravelerAnemo",
E74="TravelerGeo",
E74="TravelerElectro",
E74="TravelerDendro",
E74="TravelerHydro",
E74="TravelerPyro",
E74="TravelerCryo"),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4" s="2" t="e" vm="596">
        <f>_xlfn.IMAGE(_xlfn.CONCAT("https://raw.githubusercontent.com/ItsCryp7iC/Genshin-Image-Hosting/main/",AZ$1,"/",WeaponsImg[[#This Row],[Name]],".png"),WeaponsImg[[#This Row],[Name]])</f>
        <v>#VALUE!</v>
      </c>
      <c r="BA74" s="2" t="s">
        <v>540</v>
      </c>
    </row>
    <row r="75" spans="4:53" ht="30" customHeight="1" x14ac:dyDescent="0.25">
      <c r="D75" s="4" t="e" vm="597">
        <f>_xlfn.IMAGE(_xlfn.CONCAT("https://raw.githubusercontent.com/ItsCryp7iC/Genshin-Image-Hosting/main/",D$1,"/",CharacterDetailsImg[[#This Row],[Name]],".png"),CharacterDetailsImg[[#This Row],[Name]])</f>
        <v>#VALUE!</v>
      </c>
      <c r="E75" s="2" t="s">
        <v>545</v>
      </c>
      <c r="F75" s="2" t="e" vm="552">
        <f t="shared" si="3"/>
        <v>#VALUE!</v>
      </c>
      <c r="G75" s="2" t="e" vm="50">
        <f>$AW$8</f>
        <v>#VALUE!</v>
      </c>
      <c r="H75" s="13">
        <v>1.5</v>
      </c>
      <c r="I75" s="2" t="e" vm="598">
        <f>$P$9</f>
        <v>#VALUE!</v>
      </c>
      <c r="J75" s="2" t="e" vm="182">
        <f>$T$13</f>
        <v>#VALUE!</v>
      </c>
      <c r="K75" s="2" t="e" vm="338">
        <f>$AF$18</f>
        <v>#VALUE!</v>
      </c>
      <c r="L75" s="3" t="e" vm="54">
        <f>$Z$8</f>
        <v>#VALUE!</v>
      </c>
      <c r="M75" s="2" t="e" vm="487">
        <f>$AI$12</f>
        <v>#VALUE!</v>
      </c>
      <c r="N75" s="5" t="e" vm="56">
        <f>IF(OR(
E75="TravelerAnemo",
E75="TravelerGeo",
E75="TravelerElectro",
E75="TravelerDendro",
E75="TravelerHydro",
E75="TravelerPyro",
E75="TravelerCryo"),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5" s="2" t="e" vm="599">
        <f>_xlfn.IMAGE(_xlfn.CONCAT("https://raw.githubusercontent.com/ItsCryp7iC/Genshin-Image-Hosting/main/",AZ$1,"/",WeaponsImg[[#This Row],[Name]],".png"),WeaponsImg[[#This Row],[Name]])</f>
        <v>#VALUE!</v>
      </c>
      <c r="BA75" s="2" t="s">
        <v>542</v>
      </c>
    </row>
    <row r="76" spans="4:53" ht="30" customHeight="1" x14ac:dyDescent="0.25">
      <c r="D76" s="4" t="e" vm="600">
        <f>_xlfn.IMAGE(_xlfn.CONCAT("https://raw.githubusercontent.com/ItsCryp7iC/Genshin-Image-Hosting/main/",D$1,"/",CharacterDetailsImg[[#This Row],[Name]],".png"),CharacterDetailsImg[[#This Row],[Name]])</f>
        <v>#VALUE!</v>
      </c>
      <c r="E76" s="2" t="s">
        <v>547</v>
      </c>
      <c r="F76" s="2" t="e" vm="546">
        <f t="shared" ref="F76:F89" si="4">$AT$5</f>
        <v>#VALUE!</v>
      </c>
      <c r="G76" s="2" t="e" vm="112">
        <f>$AW$7</f>
        <v>#VALUE!</v>
      </c>
      <c r="H76" s="13">
        <v>3.1</v>
      </c>
      <c r="I76" s="2" t="e" vm="389">
        <f>$P$22</f>
        <v>#VALUE!</v>
      </c>
      <c r="J76" s="2" t="e" vm="240">
        <f>$T$19</f>
        <v>#VALUE!</v>
      </c>
      <c r="K76" s="2" t="e" vm="391">
        <f>$AF$30</f>
        <v>#VALUE!</v>
      </c>
      <c r="L76" s="2" t="e" vm="32">
        <f>$Z$13</f>
        <v>#VALUE!</v>
      </c>
      <c r="M76" s="2" t="e" vm="76">
        <f>$AI$33</f>
        <v>#VALUE!</v>
      </c>
      <c r="N76" s="5" t="e" vm="117">
        <f>IF(OR(
E76="TravelerAnemo",
E76="TravelerGeo",
E76="TravelerElectro",
E76="TravelerDendro",
E76="TravelerHydro",
E76="TravelerPyro",
E76="TravelerCryo"),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6" s="2" t="e" vm="601">
        <f>_xlfn.IMAGE(_xlfn.CONCAT("https://raw.githubusercontent.com/ItsCryp7iC/Genshin-Image-Hosting/main/",AZ$1,"/",WeaponsImg[[#This Row],[Name]],".png"),WeaponsImg[[#This Row],[Name]])</f>
        <v>#VALUE!</v>
      </c>
      <c r="BA76" s="2" t="s">
        <v>544</v>
      </c>
    </row>
    <row r="77" spans="4:53" ht="30" customHeight="1" x14ac:dyDescent="0.25">
      <c r="D77" s="4" t="e" vm="602">
        <f>_xlfn.IMAGE(_xlfn.CONCAT("https://raw.githubusercontent.com/ItsCryp7iC/Genshin-Image-Hosting/main/",D$1,"/",CharacterDetailsImg[[#This Row],[Name]],".png"),CharacterDetailsImg[[#This Row],[Name]])</f>
        <v>#VALUE!</v>
      </c>
      <c r="E77" s="2" t="s">
        <v>549</v>
      </c>
      <c r="F77" s="2" t="e" vm="546">
        <f t="shared" si="4"/>
        <v>#VALUE!</v>
      </c>
      <c r="G77" s="2" t="e" vm="50">
        <f>$AW$8</f>
        <v>#VALUE!</v>
      </c>
      <c r="H77" s="13">
        <v>4.3</v>
      </c>
      <c r="I77" s="2" t="e" vm="92">
        <f>$P$30</f>
        <v>#VALUE!</v>
      </c>
      <c r="J77" s="2" t="e" vm="591">
        <f>$T$28</f>
        <v>#VALUE!</v>
      </c>
      <c r="K77" s="2" t="e" vm="260">
        <f>$AF$45</f>
        <v>#VALUE!</v>
      </c>
      <c r="L77" s="2" t="e" vm="261">
        <f>$Z$15</f>
        <v>#VALUE!</v>
      </c>
      <c r="M77" s="2" t="e" vm="262">
        <f>$AI$40</f>
        <v>#VALUE!</v>
      </c>
      <c r="N77" s="5" t="e" vm="56">
        <f>IF(OR(
E77="TravelerAnemo",
E77="TravelerGeo",
E77="TravelerElectro",
E77="TravelerDendro",
E77="TravelerHydro",
E77="TravelerPyro",
E77="TravelerCryo"),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7" s="2" t="e" vm="603">
        <f>_xlfn.IMAGE(_xlfn.CONCAT("https://raw.githubusercontent.com/ItsCryp7iC/Genshin-Image-Hosting/main/",AZ$1,"/",WeaponsImg[[#This Row],[Name]],".png"),WeaponsImg[[#This Row],[Name]])</f>
        <v>#VALUE!</v>
      </c>
      <c r="BA77" s="2" t="s">
        <v>546</v>
      </c>
    </row>
    <row r="78" spans="4:53" ht="30" customHeight="1" x14ac:dyDescent="0.25">
      <c r="D78" s="4" t="e" vm="604">
        <f>_xlfn.IMAGE(_xlfn.CONCAT("https://raw.githubusercontent.com/ItsCryp7iC/Genshin-Image-Hosting/main/",D$1,"/",CharacterDetailsImg[[#This Row],[Name]],".png"),CharacterDetailsImg[[#This Row],[Name]])</f>
        <v>#VALUE!</v>
      </c>
      <c r="E78" s="2" t="s">
        <v>551</v>
      </c>
      <c r="F78" s="2" t="e" vm="546">
        <f t="shared" si="4"/>
        <v>#VALUE!</v>
      </c>
      <c r="G78" s="2" t="e" vm="91">
        <f>$AW$5</f>
        <v>#VALUE!</v>
      </c>
      <c r="H78" s="13">
        <v>3.1</v>
      </c>
      <c r="I78" s="2" t="e" vm="506">
        <f>$P$20</f>
        <v>#VALUE!</v>
      </c>
      <c r="J78" s="2" t="e" vm="198">
        <f>$T$18</f>
        <v>#VALUE!</v>
      </c>
      <c r="K78" s="2" t="e" vm="391">
        <f>$AF$30</f>
        <v>#VALUE!</v>
      </c>
      <c r="L78" s="2" t="e" vm="10">
        <f>$Z$5</f>
        <v>#VALUE!</v>
      </c>
      <c r="M78" s="2" t="e" vm="605">
        <f>$AI$37</f>
        <v>#VALUE!</v>
      </c>
      <c r="N78" s="5" t="e" vm="97">
        <f>IF(OR(
E78="TravelerAnemo",
E78="TravelerGeo",
E78="TravelerElectro",
E78="TravelerDendro",
E78="TravelerHydro",
E78="TravelerPyro",
E78="TravelerCryo"),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8" s="2" t="e" vm="606">
        <f>_xlfn.IMAGE(_xlfn.CONCAT("https://raw.githubusercontent.com/ItsCryp7iC/Genshin-Image-Hosting/main/",AZ$1,"/",WeaponsImg[[#This Row],[Name]],".png"),WeaponsImg[[#This Row],[Name]])</f>
        <v>#VALUE!</v>
      </c>
      <c r="BA78" s="2" t="s">
        <v>548</v>
      </c>
    </row>
    <row r="79" spans="4:53" ht="30" customHeight="1" x14ac:dyDescent="0.25">
      <c r="D79" s="4" t="e" vm="607">
        <f>_xlfn.IMAGE(_xlfn.CONCAT("https://raw.githubusercontent.com/ItsCryp7iC/Genshin-Image-Hosting/main/",D$1,"/",CharacterDetailsImg[[#This Row],[Name]],".png"),CharacterDetailsImg[[#This Row],[Name]])</f>
        <v>#VALUE!</v>
      </c>
      <c r="E79" s="2" t="s">
        <v>553</v>
      </c>
      <c r="F79" s="2" t="e" vm="546">
        <f t="shared" si="4"/>
        <v>#VALUE!</v>
      </c>
      <c r="G79" s="2" t="e" vm="50">
        <f>$AW$8</f>
        <v>#VALUE!</v>
      </c>
      <c r="H79" s="13">
        <v>1.3</v>
      </c>
      <c r="I79" s="2" t="e" vm="598">
        <f>$P$9</f>
        <v>#VALUE!</v>
      </c>
      <c r="J79" s="2" t="e" vm="380">
        <f>$T$10</f>
        <v>#VALUE!</v>
      </c>
      <c r="K79" s="2" t="e" vm="151">
        <f>$AF$15</f>
        <v>#VALUE!</v>
      </c>
      <c r="L79" s="2" t="e" vm="115">
        <f>$Z$9</f>
        <v>#VALUE!</v>
      </c>
      <c r="M79" s="2" t="e" vm="339">
        <f>$AI$13</f>
        <v>#VALUE!</v>
      </c>
      <c r="N79" s="5" t="e" vm="56">
        <f>IF(OR(
E79="TravelerAnemo",
E79="TravelerGeo",
E79="TravelerElectro",
E79="TravelerDendro",
E79="TravelerHydro",
E79="TravelerPyro",
E79="TravelerCryo"),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79" s="2" t="e" vm="608">
        <f>_xlfn.IMAGE(_xlfn.CONCAT("https://raw.githubusercontent.com/ItsCryp7iC/Genshin-Image-Hosting/main/",AZ$1,"/",WeaponsImg[[#This Row],[Name]],".png"),WeaponsImg[[#This Row],[Name]])</f>
        <v>#VALUE!</v>
      </c>
      <c r="BA79" s="2" t="s">
        <v>550</v>
      </c>
    </row>
    <row r="80" spans="4:53" ht="30" customHeight="1" x14ac:dyDescent="0.25">
      <c r="D80" s="4" t="e" vm="609">
        <f>_xlfn.IMAGE(_xlfn.CONCAT("https://raw.githubusercontent.com/ItsCryp7iC/Genshin-Image-Hosting/main/",D$1,"/",CharacterDetailsImg[[#This Row],[Name]],".png"),CharacterDetailsImg[[#This Row],[Name]])</f>
        <v>#VALUE!</v>
      </c>
      <c r="E80" s="2" t="s">
        <v>555</v>
      </c>
      <c r="F80" s="2" t="e" vm="546">
        <f t="shared" si="4"/>
        <v>#VALUE!</v>
      </c>
      <c r="G80" s="2" t="e" vm="165">
        <f>$AW$9</f>
        <v>#VALUE!</v>
      </c>
      <c r="H80" s="13">
        <v>3.5</v>
      </c>
      <c r="I80" s="2" t="e" vm="29">
        <f>$P$24</f>
        <v>#VALUE!</v>
      </c>
      <c r="J80" s="2" t="e" vm="30">
        <f>$T$22</f>
        <v>#VALUE!</v>
      </c>
      <c r="K80" s="2" t="e" vm="9">
        <f>$AF$9</f>
        <v>#VALUE!</v>
      </c>
      <c r="L80" s="3" t="e" vm="435">
        <f>$Z$7</f>
        <v>#VALUE!</v>
      </c>
      <c r="M80" s="2" t="e" vm="536">
        <f>$AI$3</f>
        <v>#VALUE!</v>
      </c>
      <c r="N80" s="5" t="e" vm="169">
        <f>IF(OR(
E80="TravelerAnemo",
E80="TravelerGeo",
E80="TravelerElectro",
E80="TravelerDendro",
E80="TravelerHydro",
E80="TravelerPyro",
E80="TravelerCryo"),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0" s="2" t="e" vm="610">
        <f>_xlfn.IMAGE(_xlfn.CONCAT("https://raw.githubusercontent.com/ItsCryp7iC/Genshin-Image-Hosting/main/",AZ$1,"/",WeaponsImg[[#This Row],[Name]],".png"),WeaponsImg[[#This Row],[Name]])</f>
        <v>#VALUE!</v>
      </c>
      <c r="BA80" s="2" t="s">
        <v>552</v>
      </c>
    </row>
    <row r="81" spans="4:53" ht="30" customHeight="1" x14ac:dyDescent="0.25">
      <c r="D81" s="4" t="e" vm="611">
        <f>_xlfn.IMAGE(_xlfn.CONCAT("https://raw.githubusercontent.com/ItsCryp7iC/Genshin-Image-Hosting/main/",D$1,"/",CharacterDetailsImg[[#This Row],[Name]],".png"),CharacterDetailsImg[[#This Row],[Name]])</f>
        <v>#VALUE!</v>
      </c>
      <c r="E81" s="2" t="s">
        <v>557</v>
      </c>
      <c r="F81" s="2" t="e" vm="546">
        <f t="shared" si="4"/>
        <v>#VALUE!</v>
      </c>
      <c r="G81" s="2" t="e" vm="91">
        <f>$AW$5</f>
        <v>#VALUE!</v>
      </c>
      <c r="H81" s="13">
        <v>2.1</v>
      </c>
      <c r="I81" s="2" t="e" vm="424">
        <f>$P$15</f>
        <v>#VALUE!</v>
      </c>
      <c r="J81" s="2" t="e" vm="350">
        <f>$T$15</f>
        <v>#VALUE!</v>
      </c>
      <c r="K81" s="2" t="e" vm="74">
        <f>$AF$27</f>
        <v>#VALUE!</v>
      </c>
      <c r="L81" s="2" t="e" vm="184">
        <f>$Z$10</f>
        <v>#VALUE!</v>
      </c>
      <c r="M81" s="2" t="e" vm="227">
        <f>$AI$27</f>
        <v>#VALUE!</v>
      </c>
      <c r="N81" s="5" t="e" vm="97">
        <f>IF(OR(
E81="TravelerAnemo",
E81="TravelerGeo",
E81="TravelerElectro",
E81="TravelerDendro",
E81="TravelerHydro",
E81="TravelerPyro",
E81="TravelerCryo"),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1" s="2" t="e" vm="612">
        <f>_xlfn.IMAGE(_xlfn.CONCAT("https://raw.githubusercontent.com/ItsCryp7iC/Genshin-Image-Hosting/main/",AZ$1,"/",WeaponsImg[[#This Row],[Name]],".png"),WeaponsImg[[#This Row],[Name]])</f>
        <v>#VALUE!</v>
      </c>
      <c r="BA81" s="2" t="s">
        <v>554</v>
      </c>
    </row>
    <row r="82" spans="4:53" ht="30" customHeight="1" x14ac:dyDescent="0.25">
      <c r="D82" s="4" t="e" vm="613">
        <f>_xlfn.IMAGE(_xlfn.CONCAT("https://raw.githubusercontent.com/ItsCryp7iC/Genshin-Image-Hosting/main/",D$1,"/",CharacterDetailsImg[[#This Row],[Name]],".png"),CharacterDetailsImg[[#This Row],[Name]])</f>
        <v>#VALUE!</v>
      </c>
      <c r="E82" s="2" t="s">
        <v>559</v>
      </c>
      <c r="F82" s="2" t="e" vm="546">
        <f t="shared" si="4"/>
        <v>#VALUE!</v>
      </c>
      <c r="G82" s="2" t="e" vm="165">
        <f>$AW$9</f>
        <v>#VALUE!</v>
      </c>
      <c r="H82" s="13">
        <v>1.4</v>
      </c>
      <c r="I82" s="2" t="e" vm="166">
        <f>$P$5</f>
        <v>#VALUE!</v>
      </c>
      <c r="J82" s="2" t="e" vm="408">
        <f>$T$11</f>
        <v>#VALUE!</v>
      </c>
      <c r="K82" s="2" t="e" vm="9">
        <f>$AF$9</f>
        <v>#VALUE!</v>
      </c>
      <c r="L82" s="3" t="e" vm="435">
        <f>$Z$7</f>
        <v>#VALUE!</v>
      </c>
      <c r="M82" s="2" t="e" vm="532">
        <f>$AI$4</f>
        <v>#VALUE!</v>
      </c>
      <c r="N82" s="5" t="e" vm="169">
        <f>IF(OR(
E82="TravelerAnemo",
E82="TravelerGeo",
E82="TravelerElectro",
E82="TravelerDendro",
E82="TravelerHydro",
E82="TravelerPyro",
E82="TravelerCryo"),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2" s="2" t="e" vm="614">
        <f>_xlfn.IMAGE(_xlfn.CONCAT("https://raw.githubusercontent.com/ItsCryp7iC/Genshin-Image-Hosting/main/",AZ$1,"/",WeaponsImg[[#This Row],[Name]],".png"),WeaponsImg[[#This Row],[Name]])</f>
        <v>#VALUE!</v>
      </c>
      <c r="BA82" s="2" t="s">
        <v>556</v>
      </c>
    </row>
    <row r="83" spans="4:53" ht="30" customHeight="1" x14ac:dyDescent="0.25">
      <c r="D83" s="4" t="e" vm="615">
        <f>_xlfn.IMAGE(_xlfn.CONCAT("https://raw.githubusercontent.com/ItsCryp7iC/Genshin-Image-Hosting/main/",D$1,"/",CharacterDetailsImg[[#This Row],[Name]],".png"),CharacterDetailsImg[[#This Row],[Name]])</f>
        <v>#VALUE!</v>
      </c>
      <c r="E83" s="2" t="s">
        <v>561</v>
      </c>
      <c r="F83" s="2" t="e" vm="546">
        <f t="shared" si="4"/>
        <v>#VALUE!</v>
      </c>
      <c r="G83" s="2" t="e" vm="165">
        <f>$AW$9</f>
        <v>#VALUE!</v>
      </c>
      <c r="H83" s="13">
        <v>2.4</v>
      </c>
      <c r="I83" s="2" t="e" vm="595">
        <f>$P$17</f>
        <v>#VALUE!</v>
      </c>
      <c r="J83" s="2" t="e" vm="579">
        <f>$T$16</f>
        <v>#VALUE!</v>
      </c>
      <c r="K83" s="2" t="e" vm="212">
        <f>$AF$12</f>
        <v>#VALUE!</v>
      </c>
      <c r="L83" s="2" t="e" vm="115">
        <f>$Z$9</f>
        <v>#VALUE!</v>
      </c>
      <c r="M83" s="2" t="e" vm="409">
        <f>$AI$15</f>
        <v>#VALUE!</v>
      </c>
      <c r="N83" s="5" t="e" vm="169">
        <f>IF(OR(
E83="TravelerAnemo",
E83="TravelerGeo",
E83="TravelerElectro",
E83="TravelerDendro",
E83="TravelerHydro",
E83="TravelerPyro",
E83="TravelerCryo"),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3" s="2" t="e" vm="616">
        <f>_xlfn.IMAGE(_xlfn.CONCAT("https://raw.githubusercontent.com/ItsCryp7iC/Genshin-Image-Hosting/main/",AZ$1,"/",WeaponsImg[[#This Row],[Name]],".png"),WeaponsImg[[#This Row],[Name]])</f>
        <v>#VALUE!</v>
      </c>
      <c r="BA83" s="2" t="s">
        <v>558</v>
      </c>
    </row>
    <row r="84" spans="4:53" ht="30" customHeight="1" x14ac:dyDescent="0.25">
      <c r="D84" s="4" t="e" vm="617">
        <f>_xlfn.IMAGE(_xlfn.CONCAT("https://raw.githubusercontent.com/ItsCryp7iC/Genshin-Image-Hosting/main/",D$1,"/",CharacterDetailsImg[[#This Row],[Name]],".png"),CharacterDetailsImg[[#This Row],[Name]])</f>
        <v>#VALUE!</v>
      </c>
      <c r="E84" s="2" t="s">
        <v>563</v>
      </c>
      <c r="F84" s="2" t="e" vm="546">
        <f t="shared" si="4"/>
        <v>#VALUE!</v>
      </c>
      <c r="G84" s="2" t="e" vm="50">
        <f>$AW$8</f>
        <v>#VALUE!</v>
      </c>
      <c r="H84" s="13">
        <v>2.2000000000000002</v>
      </c>
      <c r="I84" s="2" t="e" vm="473">
        <f>$P$13</f>
        <v>#VALUE!</v>
      </c>
      <c r="J84" s="2" t="e" vm="579">
        <f>$T$16</f>
        <v>#VALUE!</v>
      </c>
      <c r="K84" s="2" t="e" vm="226">
        <f>$AF$21</f>
        <v>#VALUE!</v>
      </c>
      <c r="L84" s="3" t="e" vm="54">
        <f>$Z$8</f>
        <v>#VALUE!</v>
      </c>
      <c r="M84" s="2" t="e" vm="618">
        <f>$AI$28</f>
        <v>#VALUE!</v>
      </c>
      <c r="N84" s="5" t="e" vm="56">
        <f>IF(OR(
E84="TravelerAnemo",
E84="TravelerGeo",
E84="TravelerElectro",
E84="TravelerDendro",
E84="TravelerHydro",
E84="TravelerPyro",
E84="TravelerCryo"),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4" s="2" t="e" vm="619">
        <f>_xlfn.IMAGE(_xlfn.CONCAT("https://raw.githubusercontent.com/ItsCryp7iC/Genshin-Image-Hosting/main/",AZ$1,"/",WeaponsImg[[#This Row],[Name]],".png"),WeaponsImg[[#This Row],[Name]])</f>
        <v>#VALUE!</v>
      </c>
      <c r="BA84" s="2" t="s">
        <v>560</v>
      </c>
    </row>
    <row r="85" spans="4:53" ht="30" customHeight="1" x14ac:dyDescent="0.25">
      <c r="D85" s="4" t="e" vm="620">
        <f>_xlfn.IMAGE(_xlfn.CONCAT("https://raw.githubusercontent.com/ItsCryp7iC/Genshin-Image-Hosting/main/",D$1,"/",CharacterDetailsImg[[#This Row],[Name]],".png"),CharacterDetailsImg[[#This Row],[Name]])</f>
        <v>#VALUE!</v>
      </c>
      <c r="E85" s="2" t="s">
        <v>565</v>
      </c>
      <c r="F85" s="2" t="e" vm="546">
        <f t="shared" si="4"/>
        <v>#VALUE!</v>
      </c>
      <c r="G85" s="2" t="e" vm="50">
        <f>$AW$8</f>
        <v>#VALUE!</v>
      </c>
      <c r="H85" s="13">
        <v>1</v>
      </c>
      <c r="I85" s="2" t="e" vm="51">
        <f>$P$6</f>
        <v>#VALUE!</v>
      </c>
      <c r="J85" s="2" t="e" vm="531">
        <f>$T$4</f>
        <v>#VALUE!</v>
      </c>
      <c r="K85" s="2" t="e" vm="151">
        <f>$AF$15</f>
        <v>#VALUE!</v>
      </c>
      <c r="L85" s="2" t="e" vm="462">
        <f>$Z$3</f>
        <v>#VALUE!</v>
      </c>
      <c r="M85" s="2" t="e" vm="621">
        <f>$AI$11</f>
        <v>#VALUE!</v>
      </c>
      <c r="N85" s="5" t="e" vm="56">
        <f>IF(OR(
E85="TravelerAnemo",
E85="TravelerGeo",
E85="TravelerElectro",
E85="TravelerDendro",
E85="TravelerHydro",
E85="TravelerPyro",
E85="TravelerCryo"),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5" s="2" t="e" vm="622">
        <f>_xlfn.IMAGE(_xlfn.CONCAT("https://raw.githubusercontent.com/ItsCryp7iC/Genshin-Image-Hosting/main/",AZ$1,"/",WeaponsImg[[#This Row],[Name]],".png"),WeaponsImg[[#This Row],[Name]])</f>
        <v>#VALUE!</v>
      </c>
      <c r="BA85" s="2" t="s">
        <v>562</v>
      </c>
    </row>
    <row r="86" spans="4:53" ht="30" customHeight="1" x14ac:dyDescent="0.25">
      <c r="D86" s="4" t="e" vm="623">
        <f>_xlfn.IMAGE(_xlfn.CONCAT("https://raw.githubusercontent.com/ItsCryp7iC/Genshin-Image-Hosting/main/",D$1,"/",CharacterDetailsImg[[#This Row],[Name]],".png"),CharacterDetailsImg[[#This Row],[Name]])</f>
        <v>#VALUE!</v>
      </c>
      <c r="E86" s="2" t="s">
        <v>567</v>
      </c>
      <c r="F86" s="2" t="e" vm="546">
        <f t="shared" si="4"/>
        <v>#VALUE!</v>
      </c>
      <c r="G86" s="2" t="e" vm="131">
        <f>$AW$3</f>
        <v>#VALUE!</v>
      </c>
      <c r="H86" s="13">
        <v>1.3</v>
      </c>
      <c r="I86" s="2" t="e" vm="598">
        <f>$P$9</f>
        <v>#VALUE!</v>
      </c>
      <c r="J86" s="2" t="e" vm="408">
        <f>$T$11</f>
        <v>#VALUE!</v>
      </c>
      <c r="K86" s="2" t="e" vm="212">
        <f>$AF$12</f>
        <v>#VALUE!</v>
      </c>
      <c r="L86" s="2" t="e" vm="462">
        <f>$Z$3</f>
        <v>#VALUE!</v>
      </c>
      <c r="M86" s="2" t="e" vm="409">
        <f>$AI$15</f>
        <v>#VALUE!</v>
      </c>
      <c r="N86" s="5" t="e" vm="135">
        <f>IF(OR(
E86="TravelerAnemo",
E86="TravelerGeo",
E86="TravelerElectro",
E86="TravelerDendro",
E86="TravelerHydro",
E86="TravelerPyro",
E86="TravelerCryo"),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6" s="2" t="e" vm="624">
        <f>_xlfn.IMAGE(_xlfn.CONCAT("https://raw.githubusercontent.com/ItsCryp7iC/Genshin-Image-Hosting/main/",AZ$1,"/",WeaponsImg[[#This Row],[Name]],".png"),WeaponsImg[[#This Row],[Name]])</f>
        <v>#VALUE!</v>
      </c>
      <c r="BA86" s="2" t="s">
        <v>564</v>
      </c>
    </row>
    <row r="87" spans="4:53" ht="30" customHeight="1" x14ac:dyDescent="0.25">
      <c r="D87" s="4" t="e" vm="625">
        <f>_xlfn.IMAGE(_xlfn.CONCAT("https://raw.githubusercontent.com/ItsCryp7iC/Genshin-Image-Hosting/main/",D$1,"/",CharacterDetailsImg[[#This Row],[Name]],".png"),CharacterDetailsImg[[#This Row],[Name]])</f>
        <v>#VALUE!</v>
      </c>
      <c r="E87" s="2" t="s">
        <v>569</v>
      </c>
      <c r="F87" s="2" t="e" vm="546">
        <f t="shared" si="4"/>
        <v>#VALUE!</v>
      </c>
      <c r="G87" s="2" t="e" vm="28">
        <f>$AW$6</f>
        <v>#VALUE!</v>
      </c>
      <c r="H87" s="13">
        <v>3.4</v>
      </c>
      <c r="I87" s="2" t="e" vm="522">
        <f>$P$23</f>
        <v>#VALUE!</v>
      </c>
      <c r="J87" s="2" t="e" vm="443">
        <f>$T$23</f>
        <v>#VALUE!</v>
      </c>
      <c r="K87" s="2" t="e" vm="151">
        <f>$AF$15</f>
        <v>#VALUE!</v>
      </c>
      <c r="L87" s="2" t="e" vm="462">
        <f>$Z$3</f>
        <v>#VALUE!</v>
      </c>
      <c r="M87" s="2" t="e" vm="621">
        <f>$AI$11</f>
        <v>#VALUE!</v>
      </c>
      <c r="N87" s="5" t="e" vm="34">
        <f>IF(OR(
E87="TravelerAnemo",
E87="TravelerGeo",
E87="TravelerElectro",
E87="TravelerDendro",
E87="TravelerHydro",
E87="TravelerPyro",
E87="TravelerCryo"),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7" s="2" t="e" vm="626">
        <f>_xlfn.IMAGE(_xlfn.CONCAT("https://raw.githubusercontent.com/ItsCryp7iC/Genshin-Image-Hosting/main/",AZ$1,"/",WeaponsImg[[#This Row],[Name]],".png"),WeaponsImg[[#This Row],[Name]])</f>
        <v>#VALUE!</v>
      </c>
      <c r="BA87" s="2" t="s">
        <v>566</v>
      </c>
    </row>
    <row r="88" spans="4:53" ht="30" customHeight="1" x14ac:dyDescent="0.25">
      <c r="D88" s="4" t="e" vm="627">
        <f>_xlfn.IMAGE(_xlfn.CONCAT("https://raw.githubusercontent.com/ItsCryp7iC/Genshin-Image-Hosting/main/",D$1,"/",CharacterDetailsImg[[#This Row],[Name]],".png"),CharacterDetailsImg[[#This Row],[Name]])</f>
        <v>#VALUE!</v>
      </c>
      <c r="E88" s="2" t="s">
        <v>571</v>
      </c>
      <c r="F88" s="2" t="e" vm="546">
        <f t="shared" si="4"/>
        <v>#VALUE!</v>
      </c>
      <c r="G88" s="2" t="e" vm="6">
        <f>$AW$4</f>
        <v>#VALUE!</v>
      </c>
      <c r="H88" s="13">
        <v>2.4</v>
      </c>
      <c r="I88" s="2" t="e" vm="480">
        <f>$P$16</f>
        <v>#VALUE!</v>
      </c>
      <c r="J88" s="2" t="e" vm="425">
        <f>$T$17</f>
        <v>#VALUE!</v>
      </c>
      <c r="K88" s="2" t="e" vm="151">
        <f>$AF$15</f>
        <v>#VALUE!</v>
      </c>
      <c r="L88" s="2" t="e" vm="133">
        <f>$Z$4</f>
        <v>#VALUE!</v>
      </c>
      <c r="M88" s="2" t="e" vm="576">
        <f>$AI$14</f>
        <v>#VALUE!</v>
      </c>
      <c r="N88" s="5" t="e" vm="12">
        <f>IF(OR(
E88="TravelerAnemo",
E88="TravelerGeo",
E88="TravelerElectro",
E88="TravelerDendro",
E88="TravelerHydro",
E88="TravelerPyro",
E88="TravelerCryo"),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8" s="2" t="e" vm="628">
        <f>_xlfn.IMAGE(_xlfn.CONCAT("https://raw.githubusercontent.com/ItsCryp7iC/Genshin-Image-Hosting/main/",AZ$1,"/",WeaponsImg[[#This Row],[Name]],".png"),WeaponsImg[[#This Row],[Name]])</f>
        <v>#VALUE!</v>
      </c>
      <c r="BA88" s="2" t="s">
        <v>568</v>
      </c>
    </row>
    <row r="89" spans="4:53" ht="30" customHeight="1" x14ac:dyDescent="0.25">
      <c r="D89" s="6" t="e" vm="629">
        <f>_xlfn.IMAGE(_xlfn.CONCAT("https://raw.githubusercontent.com/ItsCryp7iC/Genshin-Image-Hosting/main/",D$1,"/",CharacterDetailsImg[[#This Row],[Name]],".png"),CharacterDetailsImg[[#This Row],[Name]])</f>
        <v>#VALUE!</v>
      </c>
      <c r="E89" s="7" t="s">
        <v>573</v>
      </c>
      <c r="F89" s="7" t="e" vm="546">
        <f t="shared" si="4"/>
        <v>#VALUE!</v>
      </c>
      <c r="G89" s="7" t="e" vm="6">
        <f>$AW$4</f>
        <v>#VALUE!</v>
      </c>
      <c r="H89" s="18">
        <v>1.1000000000000001</v>
      </c>
      <c r="I89" s="2" t="e" vm="7">
        <f>$P$8</f>
        <v>#VALUE!</v>
      </c>
      <c r="J89" s="7" t="e" vm="8">
        <f>$T$9</f>
        <v>#VALUE!</v>
      </c>
      <c r="K89" s="7" t="e" vm="338">
        <f>$AF$18</f>
        <v>#VALUE!</v>
      </c>
      <c r="L89" s="7" t="e" vm="462">
        <f>$Z$3</f>
        <v>#VALUE!</v>
      </c>
      <c r="M89" s="7" t="e" vm="213">
        <f>$AI$18</f>
        <v>#VALUE!</v>
      </c>
      <c r="N89" s="8" t="e" vm="12">
        <f>IF(OR(
E89="TravelerAnemo",
E89="TravelerGeo",
E89="TravelerElectro",
E89="TravelerDendro",
E89="TravelerHydro",
E89="TravelerPyro",
E89="TravelerCryo"),
$AL$3,
IF(CharacterDetailsImg[[#This Row],[Element]]=$AW$3,$AL$23,
IF(CharacterDetailsImg[[#This Row],[Element]]=$AW$4,$AL$31,
IF(CharacterDetailsImg[[#This Row],[Element]]=$AW$5,$AL$19,
IF(CharacterDetailsImg[[#This Row],[Element]]=$AW$6,$AL$15,
IF(CharacterDetailsImg[[#This Row],[Element]]=$AW$7,$AL$11,
IF(CharacterDetailsImg[[#This Row],[Element]]=$AW$8,$AL$7,
IF(CharacterDetailsImg[[#This Row],[Element]]=$AW$9,$AL$27,""))))))))</f>
        <v>#VALUE!</v>
      </c>
      <c r="AZ89" s="2" t="e" vm="630">
        <f>_xlfn.IMAGE(_xlfn.CONCAT("https://raw.githubusercontent.com/ItsCryp7iC/Genshin-Image-Hosting/main/",AZ$1,"/",WeaponsImg[[#This Row],[Name]],".png"),WeaponsImg[[#This Row],[Name]])</f>
        <v>#VALUE!</v>
      </c>
      <c r="BA89" s="2" t="s">
        <v>570</v>
      </c>
    </row>
    <row r="90" spans="4:53" ht="30" customHeight="1" x14ac:dyDescent="0.25">
      <c r="AZ90" s="2" t="e" vm="631">
        <f>_xlfn.IMAGE(_xlfn.CONCAT("https://raw.githubusercontent.com/ItsCryp7iC/Genshin-Image-Hosting/main/",AZ$1,"/",WeaponsImg[[#This Row],[Name]],".png"),WeaponsImg[[#This Row],[Name]])</f>
        <v>#VALUE!</v>
      </c>
      <c r="BA90" s="2" t="s">
        <v>572</v>
      </c>
    </row>
    <row r="91" spans="4:53" ht="30" customHeight="1" x14ac:dyDescent="0.25">
      <c r="AZ91" s="2" t="e" vm="632">
        <f>_xlfn.IMAGE(_xlfn.CONCAT("https://raw.githubusercontent.com/ItsCryp7iC/Genshin-Image-Hosting/main/",AZ$1,"/",WeaponsImg[[#This Row],[Name]],".png"),WeaponsImg[[#This Row],[Name]])</f>
        <v>#VALUE!</v>
      </c>
      <c r="BA91" s="2" t="s">
        <v>574</v>
      </c>
    </row>
    <row r="92" spans="4:53" ht="30" customHeight="1" x14ac:dyDescent="0.25">
      <c r="AZ92" s="2" t="e" vm="633">
        <f>_xlfn.IMAGE(_xlfn.CONCAT("https://raw.githubusercontent.com/ItsCryp7iC/Genshin-Image-Hosting/main/",AZ$1,"/",WeaponsImg[[#This Row],[Name]],".png"),WeaponsImg[[#This Row],[Name]])</f>
        <v>#VALUE!</v>
      </c>
      <c r="BA92" s="2" t="s">
        <v>575</v>
      </c>
    </row>
    <row r="93" spans="4:53" ht="30" customHeight="1" x14ac:dyDescent="0.25">
      <c r="AZ93" s="2" t="e" vm="634">
        <f>_xlfn.IMAGE(_xlfn.CONCAT("https://raw.githubusercontent.com/ItsCryp7iC/Genshin-Image-Hosting/main/",AZ$1,"/",WeaponsImg[[#This Row],[Name]],".png"),WeaponsImg[[#This Row],[Name]])</f>
        <v>#VALUE!</v>
      </c>
      <c r="BA93" s="2" t="s">
        <v>576</v>
      </c>
    </row>
    <row r="94" spans="4:53" ht="30" customHeight="1" x14ac:dyDescent="0.25">
      <c r="AZ94" s="2" t="e" vm="635">
        <f>_xlfn.IMAGE(_xlfn.CONCAT("https://raw.githubusercontent.com/ItsCryp7iC/Genshin-Image-Hosting/main/",AZ$1,"/",WeaponsImg[[#This Row],[Name]],".png"),WeaponsImg[[#This Row],[Name]])</f>
        <v>#VALUE!</v>
      </c>
      <c r="BA94" s="2" t="s">
        <v>577</v>
      </c>
    </row>
    <row r="95" spans="4:53" ht="30" customHeight="1" x14ac:dyDescent="0.25">
      <c r="AZ95" s="2" t="e" vm="636">
        <f>_xlfn.IMAGE(_xlfn.CONCAT("https://raw.githubusercontent.com/ItsCryp7iC/Genshin-Image-Hosting/main/",AZ$1,"/",WeaponsImg[[#This Row],[Name]],".png"),WeaponsImg[[#This Row],[Name]])</f>
        <v>#VALUE!</v>
      </c>
      <c r="BA95" s="2" t="s">
        <v>578</v>
      </c>
    </row>
    <row r="96" spans="4:53" ht="30" customHeight="1" x14ac:dyDescent="0.25">
      <c r="AZ96" s="2" t="e" vm="637">
        <f>_xlfn.IMAGE(_xlfn.CONCAT("https://raw.githubusercontent.com/ItsCryp7iC/Genshin-Image-Hosting/main/",AZ$1,"/",WeaponsImg[[#This Row],[Name]],".png"),WeaponsImg[[#This Row],[Name]])</f>
        <v>#VALUE!</v>
      </c>
      <c r="BA96" s="2" t="s">
        <v>579</v>
      </c>
    </row>
    <row r="97" spans="52:53" ht="30" customHeight="1" x14ac:dyDescent="0.25">
      <c r="AZ97" s="2" t="e" vm="638">
        <f>_xlfn.IMAGE(_xlfn.CONCAT("https://raw.githubusercontent.com/ItsCryp7iC/Genshin-Image-Hosting/main/",AZ$1,"/",WeaponsImg[[#This Row],[Name]],".png"),WeaponsImg[[#This Row],[Name]])</f>
        <v>#VALUE!</v>
      </c>
      <c r="BA97" s="2" t="s">
        <v>580</v>
      </c>
    </row>
    <row r="98" spans="52:53" ht="30" customHeight="1" x14ac:dyDescent="0.25">
      <c r="AZ98" s="2" t="e" vm="639">
        <f>_xlfn.IMAGE(_xlfn.CONCAT("https://raw.githubusercontent.com/ItsCryp7iC/Genshin-Image-Hosting/main/",AZ$1,"/",WeaponsImg[[#This Row],[Name]],".png"),WeaponsImg[[#This Row],[Name]])</f>
        <v>#VALUE!</v>
      </c>
      <c r="BA98" s="2" t="s">
        <v>581</v>
      </c>
    </row>
    <row r="99" spans="52:53" ht="30" customHeight="1" x14ac:dyDescent="0.25">
      <c r="AZ99" s="2" t="e" vm="640">
        <f>_xlfn.IMAGE(_xlfn.CONCAT("https://raw.githubusercontent.com/ItsCryp7iC/Genshin-Image-Hosting/main/",AZ$1,"/",WeaponsImg[[#This Row],[Name]],".png"),WeaponsImg[[#This Row],[Name]])</f>
        <v>#VALUE!</v>
      </c>
      <c r="BA99" s="2" t="s">
        <v>582</v>
      </c>
    </row>
    <row r="100" spans="52:53" ht="30" customHeight="1" x14ac:dyDescent="0.25">
      <c r="AZ100" s="2" t="e" vm="641">
        <f>_xlfn.IMAGE(_xlfn.CONCAT("https://raw.githubusercontent.com/ItsCryp7iC/Genshin-Image-Hosting/main/",AZ$1,"/",WeaponsImg[[#This Row],[Name]],".png"),WeaponsImg[[#This Row],[Name]])</f>
        <v>#VALUE!</v>
      </c>
      <c r="BA100" s="2" t="s">
        <v>583</v>
      </c>
    </row>
    <row r="101" spans="52:53" ht="30" customHeight="1" x14ac:dyDescent="0.25">
      <c r="AZ101" s="2" t="e" vm="642">
        <f>_xlfn.IMAGE(_xlfn.CONCAT("https://raw.githubusercontent.com/ItsCryp7iC/Genshin-Image-Hosting/main/",AZ$1,"/",WeaponsImg[[#This Row],[Name]],".png"),WeaponsImg[[#This Row],[Name]])</f>
        <v>#VALUE!</v>
      </c>
      <c r="BA101" s="2" t="s">
        <v>584</v>
      </c>
    </row>
    <row r="102" spans="52:53" ht="30" customHeight="1" x14ac:dyDescent="0.25">
      <c r="AZ102" s="2" t="e" vm="643">
        <f>_xlfn.IMAGE(_xlfn.CONCAT("https://raw.githubusercontent.com/ItsCryp7iC/Genshin-Image-Hosting/main/",AZ$1,"/",WeaponsImg[[#This Row],[Name]],".png"),WeaponsImg[[#This Row],[Name]])</f>
        <v>#VALUE!</v>
      </c>
      <c r="BA102" s="2" t="s">
        <v>585</v>
      </c>
    </row>
    <row r="103" spans="52:53" ht="30" customHeight="1" x14ac:dyDescent="0.25">
      <c r="AZ103" s="2" t="e" vm="644">
        <f>_xlfn.IMAGE(_xlfn.CONCAT("https://raw.githubusercontent.com/ItsCryp7iC/Genshin-Image-Hosting/main/",AZ$1,"/",WeaponsImg[[#This Row],[Name]],".png"),WeaponsImg[[#This Row],[Name]])</f>
        <v>#VALUE!</v>
      </c>
      <c r="BA103" s="2" t="s">
        <v>586</v>
      </c>
    </row>
    <row r="104" spans="52:53" ht="30" customHeight="1" x14ac:dyDescent="0.25">
      <c r="AZ104" s="2" t="e" vm="645">
        <f>_xlfn.IMAGE(_xlfn.CONCAT("https://raw.githubusercontent.com/ItsCryp7iC/Genshin-Image-Hosting/main/",AZ$1,"/",WeaponsImg[[#This Row],[Name]],".png"),WeaponsImg[[#This Row],[Name]])</f>
        <v>#VALUE!</v>
      </c>
      <c r="BA104" s="2" t="s">
        <v>587</v>
      </c>
    </row>
    <row r="105" spans="52:53" ht="30" customHeight="1" x14ac:dyDescent="0.25">
      <c r="AZ105" s="2" t="e" vm="646">
        <f>_xlfn.IMAGE(_xlfn.CONCAT("https://raw.githubusercontent.com/ItsCryp7iC/Genshin-Image-Hosting/main/",AZ$1,"/",WeaponsImg[[#This Row],[Name]],".png"),WeaponsImg[[#This Row],[Name]])</f>
        <v>#VALUE!</v>
      </c>
      <c r="BA105" s="2" t="s">
        <v>588</v>
      </c>
    </row>
    <row r="106" spans="52:53" ht="30" customHeight="1" x14ac:dyDescent="0.25">
      <c r="AZ106" s="2" t="e" vm="647">
        <f>_xlfn.IMAGE(_xlfn.CONCAT("https://raw.githubusercontent.com/ItsCryp7iC/Genshin-Image-Hosting/main/",AZ$1,"/",WeaponsImg[[#This Row],[Name]],".png"),WeaponsImg[[#This Row],[Name]])</f>
        <v>#VALUE!</v>
      </c>
      <c r="BA106" s="2" t="s">
        <v>589</v>
      </c>
    </row>
    <row r="107" spans="52:53" ht="30" customHeight="1" x14ac:dyDescent="0.25">
      <c r="AZ107" s="2" t="e" vm="648">
        <f>_xlfn.IMAGE(_xlfn.CONCAT("https://raw.githubusercontent.com/ItsCryp7iC/Genshin-Image-Hosting/main/",AZ$1,"/",WeaponsImg[[#This Row],[Name]],".png"),WeaponsImg[[#This Row],[Name]])</f>
        <v>#VALUE!</v>
      </c>
      <c r="BA107" s="2" t="s">
        <v>590</v>
      </c>
    </row>
    <row r="108" spans="52:53" ht="30" customHeight="1" x14ac:dyDescent="0.25">
      <c r="AZ108" s="2" t="e" vm="649">
        <f>_xlfn.IMAGE(_xlfn.CONCAT("https://raw.githubusercontent.com/ItsCryp7iC/Genshin-Image-Hosting/main/",AZ$1,"/",WeaponsImg[[#This Row],[Name]],".png"),WeaponsImg[[#This Row],[Name]])</f>
        <v>#VALUE!</v>
      </c>
      <c r="BA108" s="2" t="s">
        <v>591</v>
      </c>
    </row>
    <row r="109" spans="52:53" ht="30" customHeight="1" x14ac:dyDescent="0.25">
      <c r="AZ109" s="2" t="e" vm="650">
        <f>_xlfn.IMAGE(_xlfn.CONCAT("https://raw.githubusercontent.com/ItsCryp7iC/Genshin-Image-Hosting/main/",AZ$1,"/",WeaponsImg[[#This Row],[Name]],".png"),WeaponsImg[[#This Row],[Name]])</f>
        <v>#VALUE!</v>
      </c>
      <c r="BA109" s="2" t="s">
        <v>592</v>
      </c>
    </row>
    <row r="110" spans="52:53" ht="30" customHeight="1" x14ac:dyDescent="0.25">
      <c r="AZ110" s="2" t="e" vm="651">
        <f>_xlfn.IMAGE(_xlfn.CONCAT("https://raw.githubusercontent.com/ItsCryp7iC/Genshin-Image-Hosting/main/",AZ$1,"/",WeaponsImg[[#This Row],[Name]],".png"),WeaponsImg[[#This Row],[Name]])</f>
        <v>#VALUE!</v>
      </c>
      <c r="BA110" s="2" t="s">
        <v>593</v>
      </c>
    </row>
    <row r="111" spans="52:53" ht="30" customHeight="1" x14ac:dyDescent="0.25">
      <c r="AZ111" s="2" t="e" vm="652">
        <f>_xlfn.IMAGE(_xlfn.CONCAT("https://raw.githubusercontent.com/ItsCryp7iC/Genshin-Image-Hosting/main/",AZ$1,"/",WeaponsImg[[#This Row],[Name]],".png"),WeaponsImg[[#This Row],[Name]])</f>
        <v>#VALUE!</v>
      </c>
      <c r="BA111" s="2" t="s">
        <v>594</v>
      </c>
    </row>
    <row r="112" spans="52:53" ht="30" customHeight="1" x14ac:dyDescent="0.25">
      <c r="AZ112" s="2" t="e" vm="653">
        <f>_xlfn.IMAGE(_xlfn.CONCAT("https://raw.githubusercontent.com/ItsCryp7iC/Genshin-Image-Hosting/main/",AZ$1,"/",WeaponsImg[[#This Row],[Name]],".png"),WeaponsImg[[#This Row],[Name]])</f>
        <v>#VALUE!</v>
      </c>
      <c r="BA112" s="2" t="s">
        <v>595</v>
      </c>
    </row>
    <row r="113" spans="52:53" ht="30" customHeight="1" x14ac:dyDescent="0.25">
      <c r="AZ113" s="2" t="e" vm="654">
        <f>_xlfn.IMAGE(_xlfn.CONCAT("https://raw.githubusercontent.com/ItsCryp7iC/Genshin-Image-Hosting/main/",AZ$1,"/",WeaponsImg[[#This Row],[Name]],".png"),WeaponsImg[[#This Row],[Name]])</f>
        <v>#VALUE!</v>
      </c>
      <c r="BA113" s="2" t="s">
        <v>596</v>
      </c>
    </row>
    <row r="114" spans="52:53" ht="30" customHeight="1" x14ac:dyDescent="0.25">
      <c r="AZ114" s="2" t="e" vm="655">
        <f>_xlfn.IMAGE(_xlfn.CONCAT("https://raw.githubusercontent.com/ItsCryp7iC/Genshin-Image-Hosting/main/",AZ$1,"/",WeaponsImg[[#This Row],[Name]],".png"),WeaponsImg[[#This Row],[Name]])</f>
        <v>#VALUE!</v>
      </c>
      <c r="BA114" s="2" t="s">
        <v>597</v>
      </c>
    </row>
    <row r="115" spans="52:53" ht="30" customHeight="1" x14ac:dyDescent="0.25">
      <c r="AZ115" s="2" t="e" vm="656">
        <f>_xlfn.IMAGE(_xlfn.CONCAT("https://raw.githubusercontent.com/ItsCryp7iC/Genshin-Image-Hosting/main/",AZ$1,"/",WeaponsImg[[#This Row],[Name]],".png"),WeaponsImg[[#This Row],[Name]])</f>
        <v>#VALUE!</v>
      </c>
      <c r="BA115" s="2" t="s">
        <v>598</v>
      </c>
    </row>
    <row r="116" spans="52:53" ht="30" customHeight="1" x14ac:dyDescent="0.25">
      <c r="AZ116" s="2" t="e" vm="657">
        <f>_xlfn.IMAGE(_xlfn.CONCAT("https://raw.githubusercontent.com/ItsCryp7iC/Genshin-Image-Hosting/main/",AZ$1,"/",WeaponsImg[[#This Row],[Name]],".png"),WeaponsImg[[#This Row],[Name]])</f>
        <v>#VALUE!</v>
      </c>
      <c r="BA116" s="2" t="s">
        <v>599</v>
      </c>
    </row>
    <row r="117" spans="52:53" ht="30" customHeight="1" x14ac:dyDescent="0.25">
      <c r="AZ117" s="2" t="e" vm="658">
        <f>_xlfn.IMAGE(_xlfn.CONCAT("https://raw.githubusercontent.com/ItsCryp7iC/Genshin-Image-Hosting/main/",AZ$1,"/",WeaponsImg[[#This Row],[Name]],".png"),WeaponsImg[[#This Row],[Name]])</f>
        <v>#VALUE!</v>
      </c>
      <c r="BA117" s="2" t="s">
        <v>600</v>
      </c>
    </row>
    <row r="118" spans="52:53" ht="30" customHeight="1" x14ac:dyDescent="0.25">
      <c r="AZ118" s="2" t="e" vm="659">
        <f>_xlfn.IMAGE(_xlfn.CONCAT("https://raw.githubusercontent.com/ItsCryp7iC/Genshin-Image-Hosting/main/",AZ$1,"/",WeaponsImg[[#This Row],[Name]],".png"),WeaponsImg[[#This Row],[Name]])</f>
        <v>#VALUE!</v>
      </c>
      <c r="BA118" s="2" t="s">
        <v>601</v>
      </c>
    </row>
    <row r="119" spans="52:53" ht="30" customHeight="1" x14ac:dyDescent="0.25">
      <c r="AZ119" s="2" t="e" vm="660">
        <f>_xlfn.IMAGE(_xlfn.CONCAT("https://raw.githubusercontent.com/ItsCryp7iC/Genshin-Image-Hosting/main/",AZ$1,"/",WeaponsImg[[#This Row],[Name]],".png"),WeaponsImg[[#This Row],[Name]])</f>
        <v>#VALUE!</v>
      </c>
      <c r="BA119" s="2" t="s">
        <v>602</v>
      </c>
    </row>
    <row r="120" spans="52:53" ht="30" customHeight="1" x14ac:dyDescent="0.25">
      <c r="AZ120" s="2" t="e" vm="661">
        <f>_xlfn.IMAGE(_xlfn.CONCAT("https://raw.githubusercontent.com/ItsCryp7iC/Genshin-Image-Hosting/main/",AZ$1,"/",WeaponsImg[[#This Row],[Name]],".png"),WeaponsImg[[#This Row],[Name]])</f>
        <v>#VALUE!</v>
      </c>
      <c r="BA120" s="2" t="s">
        <v>603</v>
      </c>
    </row>
    <row r="121" spans="52:53" ht="30" customHeight="1" x14ac:dyDescent="0.25">
      <c r="AZ121" s="2" t="e" vm="662">
        <f>_xlfn.IMAGE(_xlfn.CONCAT("https://raw.githubusercontent.com/ItsCryp7iC/Genshin-Image-Hosting/main/",AZ$1,"/",WeaponsImg[[#This Row],[Name]],".png"),WeaponsImg[[#This Row],[Name]])</f>
        <v>#VALUE!</v>
      </c>
      <c r="BA121" s="2" t="s">
        <v>604</v>
      </c>
    </row>
    <row r="122" spans="52:53" ht="30" customHeight="1" x14ac:dyDescent="0.25">
      <c r="AZ122" s="2" t="e" vm="663">
        <f>_xlfn.IMAGE(_xlfn.CONCAT("https://raw.githubusercontent.com/ItsCryp7iC/Genshin-Image-Hosting/main/",AZ$1,"/",WeaponsImg[[#This Row],[Name]],".png"),WeaponsImg[[#This Row],[Name]])</f>
        <v>#VALUE!</v>
      </c>
      <c r="BA122" s="2" t="s">
        <v>605</v>
      </c>
    </row>
    <row r="123" spans="52:53" ht="30" customHeight="1" x14ac:dyDescent="0.25">
      <c r="AZ123" s="2" t="e" vm="664">
        <f>_xlfn.IMAGE(_xlfn.CONCAT("https://raw.githubusercontent.com/ItsCryp7iC/Genshin-Image-Hosting/main/",AZ$1,"/",WeaponsImg[[#This Row],[Name]],".png"),WeaponsImg[[#This Row],[Name]])</f>
        <v>#VALUE!</v>
      </c>
      <c r="BA123" s="2" t="s">
        <v>606</v>
      </c>
    </row>
    <row r="124" spans="52:53" ht="30" customHeight="1" x14ac:dyDescent="0.25">
      <c r="AZ124" s="2" t="e" vm="665">
        <f>_xlfn.IMAGE(_xlfn.CONCAT("https://raw.githubusercontent.com/ItsCryp7iC/Genshin-Image-Hosting/main/",AZ$1,"/",WeaponsImg[[#This Row],[Name]],".png"),WeaponsImg[[#This Row],[Name]])</f>
        <v>#VALUE!</v>
      </c>
      <c r="BA124" s="2" t="s">
        <v>607</v>
      </c>
    </row>
    <row r="125" spans="52:53" ht="30" customHeight="1" x14ac:dyDescent="0.25">
      <c r="AZ125" s="2" t="e" vm="666">
        <f>_xlfn.IMAGE(_xlfn.CONCAT("https://raw.githubusercontent.com/ItsCryp7iC/Genshin-Image-Hosting/main/",AZ$1,"/",WeaponsImg[[#This Row],[Name]],".png"),WeaponsImg[[#This Row],[Name]])</f>
        <v>#VALUE!</v>
      </c>
      <c r="BA125" s="2" t="s">
        <v>608</v>
      </c>
    </row>
    <row r="126" spans="52:53" ht="30" customHeight="1" x14ac:dyDescent="0.25">
      <c r="AZ126" s="2" t="e" vm="667">
        <f>_xlfn.IMAGE(_xlfn.CONCAT("https://raw.githubusercontent.com/ItsCryp7iC/Genshin-Image-Hosting/main/",AZ$1,"/",WeaponsImg[[#This Row],[Name]],".png"),WeaponsImg[[#This Row],[Name]])</f>
        <v>#VALUE!</v>
      </c>
      <c r="BA126" s="2" t="s">
        <v>609</v>
      </c>
    </row>
    <row r="127" spans="52:53" ht="30" customHeight="1" x14ac:dyDescent="0.25">
      <c r="AZ127" s="2" t="e" vm="668">
        <f>_xlfn.IMAGE(_xlfn.CONCAT("https://raw.githubusercontent.com/ItsCryp7iC/Genshin-Image-Hosting/main/",AZ$1,"/",WeaponsImg[[#This Row],[Name]],".png"),WeaponsImg[[#This Row],[Name]])</f>
        <v>#VALUE!</v>
      </c>
      <c r="BA127" s="2" t="s">
        <v>610</v>
      </c>
    </row>
    <row r="128" spans="52:53" ht="30" customHeight="1" x14ac:dyDescent="0.25">
      <c r="AZ128" s="2" t="e" vm="669">
        <f>_xlfn.IMAGE(_xlfn.CONCAT("https://raw.githubusercontent.com/ItsCryp7iC/Genshin-Image-Hosting/main/",AZ$1,"/",WeaponsImg[[#This Row],[Name]],".png"),WeaponsImg[[#This Row],[Name]])</f>
        <v>#VALUE!</v>
      </c>
      <c r="BA128" s="2" t="s">
        <v>611</v>
      </c>
    </row>
    <row r="129" spans="52:53" ht="30" customHeight="1" x14ac:dyDescent="0.25">
      <c r="AZ129" s="2" t="e" vm="670">
        <f>_xlfn.IMAGE(_xlfn.CONCAT("https://raw.githubusercontent.com/ItsCryp7iC/Genshin-Image-Hosting/main/",AZ$1,"/",WeaponsImg[[#This Row],[Name]],".png"),WeaponsImg[[#This Row],[Name]])</f>
        <v>#VALUE!</v>
      </c>
      <c r="BA129" s="2" t="s">
        <v>612</v>
      </c>
    </row>
    <row r="130" spans="52:53" ht="30" customHeight="1" x14ac:dyDescent="0.25">
      <c r="AZ130" s="2" t="e" vm="671">
        <f>_xlfn.IMAGE(_xlfn.CONCAT("https://raw.githubusercontent.com/ItsCryp7iC/Genshin-Image-Hosting/main/",AZ$1,"/",WeaponsImg[[#This Row],[Name]],".png"),WeaponsImg[[#This Row],[Name]])</f>
        <v>#VALUE!</v>
      </c>
      <c r="BA130" s="2" t="s">
        <v>613</v>
      </c>
    </row>
    <row r="131" spans="52:53" ht="30" customHeight="1" x14ac:dyDescent="0.25">
      <c r="AZ131" s="2" t="e" vm="672">
        <f>_xlfn.IMAGE(_xlfn.CONCAT("https://raw.githubusercontent.com/ItsCryp7iC/Genshin-Image-Hosting/main/",AZ$1,"/",WeaponsImg[[#This Row],[Name]],".png"),WeaponsImg[[#This Row],[Name]])</f>
        <v>#VALUE!</v>
      </c>
      <c r="BA131" s="2" t="s">
        <v>614</v>
      </c>
    </row>
    <row r="132" spans="52:53" ht="30" customHeight="1" x14ac:dyDescent="0.25">
      <c r="AZ132" s="2" t="e" vm="673">
        <f>_xlfn.IMAGE(_xlfn.CONCAT("https://raw.githubusercontent.com/ItsCryp7iC/Genshin-Image-Hosting/main/",AZ$1,"/",WeaponsImg[[#This Row],[Name]],".png"),WeaponsImg[[#This Row],[Name]])</f>
        <v>#VALUE!</v>
      </c>
      <c r="BA132" s="2" t="s">
        <v>615</v>
      </c>
    </row>
    <row r="133" spans="52:53" ht="30" customHeight="1" x14ac:dyDescent="0.25">
      <c r="AZ133" s="2" t="e" vm="674">
        <f>_xlfn.IMAGE(_xlfn.CONCAT("https://raw.githubusercontent.com/ItsCryp7iC/Genshin-Image-Hosting/main/",AZ$1,"/",WeaponsImg[[#This Row],[Name]],".png"),WeaponsImg[[#This Row],[Name]])</f>
        <v>#VALUE!</v>
      </c>
      <c r="BA133" s="2" t="s">
        <v>616</v>
      </c>
    </row>
    <row r="134" spans="52:53" ht="30" customHeight="1" x14ac:dyDescent="0.25">
      <c r="AZ134" s="2" t="e" vm="675">
        <f>_xlfn.IMAGE(_xlfn.CONCAT("https://raw.githubusercontent.com/ItsCryp7iC/Genshin-Image-Hosting/main/",AZ$1,"/",WeaponsImg[[#This Row],[Name]],".png"),WeaponsImg[[#This Row],[Name]])</f>
        <v>#VALUE!</v>
      </c>
      <c r="BA134" s="2" t="s">
        <v>617</v>
      </c>
    </row>
    <row r="135" spans="52:53" ht="30" customHeight="1" x14ac:dyDescent="0.25">
      <c r="AZ135" s="2" t="e" vm="676">
        <f>_xlfn.IMAGE(_xlfn.CONCAT("https://raw.githubusercontent.com/ItsCryp7iC/Genshin-Image-Hosting/main/",AZ$1,"/",WeaponsImg[[#This Row],[Name]],".png"),WeaponsImg[[#This Row],[Name]])</f>
        <v>#VALUE!</v>
      </c>
      <c r="BA135" s="2" t="s">
        <v>618</v>
      </c>
    </row>
    <row r="136" spans="52:53" ht="30" customHeight="1" x14ac:dyDescent="0.25">
      <c r="AZ136" s="2" t="e" vm="677">
        <f>_xlfn.IMAGE(_xlfn.CONCAT("https://raw.githubusercontent.com/ItsCryp7iC/Genshin-Image-Hosting/main/",AZ$1,"/",WeaponsImg[[#This Row],[Name]],".png"),WeaponsImg[[#This Row],[Name]])</f>
        <v>#VALUE!</v>
      </c>
      <c r="BA136" s="2" t="s">
        <v>619</v>
      </c>
    </row>
    <row r="137" spans="52:53" ht="30" customHeight="1" x14ac:dyDescent="0.25">
      <c r="AZ137" s="2" t="e" vm="678">
        <f>_xlfn.IMAGE(_xlfn.CONCAT("https://raw.githubusercontent.com/ItsCryp7iC/Genshin-Image-Hosting/main/",AZ$1,"/",WeaponsImg[[#This Row],[Name]],".png"),WeaponsImg[[#This Row],[Name]])</f>
        <v>#VALUE!</v>
      </c>
      <c r="BA137" s="2" t="s">
        <v>620</v>
      </c>
    </row>
    <row r="138" spans="52:53" ht="30" customHeight="1" x14ac:dyDescent="0.25">
      <c r="AZ138" s="2" t="e" vm="679">
        <f>_xlfn.IMAGE(_xlfn.CONCAT("https://raw.githubusercontent.com/ItsCryp7iC/Genshin-Image-Hosting/main/",AZ$1,"/",WeaponsImg[[#This Row],[Name]],".png"),WeaponsImg[[#This Row],[Name]])</f>
        <v>#VALUE!</v>
      </c>
      <c r="BA138" s="2" t="s">
        <v>621</v>
      </c>
    </row>
    <row r="139" spans="52:53" ht="30" customHeight="1" x14ac:dyDescent="0.25">
      <c r="AZ139" s="2" t="e" vm="680">
        <f>_xlfn.IMAGE(_xlfn.CONCAT("https://raw.githubusercontent.com/ItsCryp7iC/Genshin-Image-Hosting/main/",AZ$1,"/",WeaponsImg[[#This Row],[Name]],".png"),WeaponsImg[[#This Row],[Name]])</f>
        <v>#VALUE!</v>
      </c>
      <c r="BA139" s="2" t="s">
        <v>622</v>
      </c>
    </row>
    <row r="140" spans="52:53" ht="30" customHeight="1" x14ac:dyDescent="0.25">
      <c r="AZ140" s="2" t="e" vm="681">
        <f>_xlfn.IMAGE(_xlfn.CONCAT("https://raw.githubusercontent.com/ItsCryp7iC/Genshin-Image-Hosting/main/",AZ$1,"/",WeaponsImg[[#This Row],[Name]],".png"),WeaponsImg[[#This Row],[Name]])</f>
        <v>#VALUE!</v>
      </c>
      <c r="BA140" s="2" t="s">
        <v>623</v>
      </c>
    </row>
    <row r="141" spans="52:53" ht="30" customHeight="1" x14ac:dyDescent="0.25">
      <c r="AZ141" s="2" t="e" vm="682">
        <f>_xlfn.IMAGE(_xlfn.CONCAT("https://raw.githubusercontent.com/ItsCryp7iC/Genshin-Image-Hosting/main/",AZ$1,"/",WeaponsImg[[#This Row],[Name]],".png"),WeaponsImg[[#This Row],[Name]])</f>
        <v>#VALUE!</v>
      </c>
      <c r="BA141" s="2" t="s">
        <v>624</v>
      </c>
    </row>
    <row r="142" spans="52:53" ht="30" customHeight="1" x14ac:dyDescent="0.25">
      <c r="AZ142" s="2" t="e" vm="683">
        <f>_xlfn.IMAGE(_xlfn.CONCAT("https://raw.githubusercontent.com/ItsCryp7iC/Genshin-Image-Hosting/main/",AZ$1,"/",WeaponsImg[[#This Row],[Name]],".png"),WeaponsImg[[#This Row],[Name]])</f>
        <v>#VALUE!</v>
      </c>
      <c r="BA142" s="2" t="s">
        <v>625</v>
      </c>
    </row>
    <row r="143" spans="52:53" ht="30" customHeight="1" x14ac:dyDescent="0.25">
      <c r="AZ143" s="2" t="e" vm="684">
        <f>_xlfn.IMAGE(_xlfn.CONCAT("https://raw.githubusercontent.com/ItsCryp7iC/Genshin-Image-Hosting/main/",AZ$1,"/",WeaponsImg[[#This Row],[Name]],".png"),WeaponsImg[[#This Row],[Name]])</f>
        <v>#VALUE!</v>
      </c>
      <c r="BA143" s="2" t="s">
        <v>626</v>
      </c>
    </row>
    <row r="144" spans="52:53" ht="30" customHeight="1" x14ac:dyDescent="0.25">
      <c r="AZ144" s="2" t="e" vm="685">
        <f>_xlfn.IMAGE(_xlfn.CONCAT("https://raw.githubusercontent.com/ItsCryp7iC/Genshin-Image-Hosting/main/",AZ$1,"/",WeaponsImg[[#This Row],[Name]],".png"),WeaponsImg[[#This Row],[Name]])</f>
        <v>#VALUE!</v>
      </c>
      <c r="BA144" s="2" t="s">
        <v>627</v>
      </c>
    </row>
    <row r="145" spans="52:53" ht="30" customHeight="1" x14ac:dyDescent="0.25">
      <c r="AZ145" s="2" t="e" vm="686">
        <f>_xlfn.IMAGE(_xlfn.CONCAT("https://raw.githubusercontent.com/ItsCryp7iC/Genshin-Image-Hosting/main/",AZ$1,"/",WeaponsImg[[#This Row],[Name]],".png"),WeaponsImg[[#This Row],[Name]])</f>
        <v>#VALUE!</v>
      </c>
      <c r="BA145" s="2" t="s">
        <v>628</v>
      </c>
    </row>
    <row r="146" spans="52:53" ht="30" customHeight="1" x14ac:dyDescent="0.25">
      <c r="AZ146" s="2" t="e" vm="687">
        <f>_xlfn.IMAGE(_xlfn.CONCAT("https://raw.githubusercontent.com/ItsCryp7iC/Genshin-Image-Hosting/main/",AZ$1,"/",WeaponsImg[[#This Row],[Name]],".png"),WeaponsImg[[#This Row],[Name]])</f>
        <v>#VALUE!</v>
      </c>
      <c r="BA146" s="2" t="s">
        <v>629</v>
      </c>
    </row>
    <row r="147" spans="52:53" ht="30" customHeight="1" x14ac:dyDescent="0.25">
      <c r="AZ147" s="2" t="e" vm="688">
        <f>_xlfn.IMAGE(_xlfn.CONCAT("https://raw.githubusercontent.com/ItsCryp7iC/Genshin-Image-Hosting/main/",AZ$1,"/",WeaponsImg[[#This Row],[Name]],".png"),WeaponsImg[[#This Row],[Name]])</f>
        <v>#VALUE!</v>
      </c>
      <c r="BA147" s="2" t="s">
        <v>630</v>
      </c>
    </row>
    <row r="148" spans="52:53" ht="30" customHeight="1" x14ac:dyDescent="0.25">
      <c r="AZ148" s="2" t="e" vm="689">
        <f>_xlfn.IMAGE(_xlfn.CONCAT("https://raw.githubusercontent.com/ItsCryp7iC/Genshin-Image-Hosting/main/",AZ$1,"/",WeaponsImg[[#This Row],[Name]],".png"),WeaponsImg[[#This Row],[Name]])</f>
        <v>#VALUE!</v>
      </c>
      <c r="BA148" s="2" t="s">
        <v>631</v>
      </c>
    </row>
    <row r="149" spans="52:53" ht="30" customHeight="1" x14ac:dyDescent="0.25">
      <c r="AZ149" s="2" t="e" vm="690">
        <f>_xlfn.IMAGE(_xlfn.CONCAT("https://raw.githubusercontent.com/ItsCryp7iC/Genshin-Image-Hosting/main/",AZ$1,"/",WeaponsImg[[#This Row],[Name]],".png"),WeaponsImg[[#This Row],[Name]])</f>
        <v>#VALUE!</v>
      </c>
      <c r="BA149" s="2" t="s">
        <v>632</v>
      </c>
    </row>
    <row r="150" spans="52:53" ht="30" customHeight="1" x14ac:dyDescent="0.25">
      <c r="AZ150" s="2" t="e" vm="691">
        <f>_xlfn.IMAGE(_xlfn.CONCAT("https://raw.githubusercontent.com/ItsCryp7iC/Genshin-Image-Hosting/main/",AZ$1,"/",WeaponsImg[[#This Row],[Name]],".png"),WeaponsImg[[#This Row],[Name]])</f>
        <v>#VALUE!</v>
      </c>
      <c r="BA150" s="2" t="s">
        <v>633</v>
      </c>
    </row>
    <row r="151" spans="52:53" ht="30" customHeight="1" x14ac:dyDescent="0.25">
      <c r="AZ151" s="2" t="e" vm="692">
        <f>_xlfn.IMAGE(_xlfn.CONCAT("https://raw.githubusercontent.com/ItsCryp7iC/Genshin-Image-Hosting/main/",AZ$1,"/",WeaponsImg[[#This Row],[Name]],".png"),WeaponsImg[[#This Row],[Name]])</f>
        <v>#VALUE!</v>
      </c>
      <c r="BA151" s="2" t="s">
        <v>634</v>
      </c>
    </row>
    <row r="152" spans="52:53" ht="30" customHeight="1" x14ac:dyDescent="0.25">
      <c r="AZ152" s="2" t="e" vm="693">
        <f>_xlfn.IMAGE(_xlfn.CONCAT("https://raw.githubusercontent.com/ItsCryp7iC/Genshin-Image-Hosting/main/",AZ$1,"/",WeaponsImg[[#This Row],[Name]],".png"),WeaponsImg[[#This Row],[Name]])</f>
        <v>#VALUE!</v>
      </c>
      <c r="BA152" s="2" t="s">
        <v>635</v>
      </c>
    </row>
    <row r="153" spans="52:53" ht="30" customHeight="1" x14ac:dyDescent="0.25">
      <c r="AZ153" s="2" t="e" vm="694">
        <f>_xlfn.IMAGE(_xlfn.CONCAT("https://raw.githubusercontent.com/ItsCryp7iC/Genshin-Image-Hosting/main/",AZ$1,"/",WeaponsImg[[#This Row],[Name]],".png"),WeaponsImg[[#This Row],[Name]])</f>
        <v>#VALUE!</v>
      </c>
      <c r="BA153" s="2" t="s">
        <v>636</v>
      </c>
    </row>
    <row r="154" spans="52:53" ht="30" customHeight="1" x14ac:dyDescent="0.25">
      <c r="AZ154" s="2" t="e" vm="695">
        <f>_xlfn.IMAGE(_xlfn.CONCAT("https://raw.githubusercontent.com/ItsCryp7iC/Genshin-Image-Hosting/main/",AZ$1,"/",WeaponsImg[[#This Row],[Name]],".png"),WeaponsImg[[#This Row],[Name]])</f>
        <v>#VALUE!</v>
      </c>
      <c r="BA154" s="2" t="s">
        <v>637</v>
      </c>
    </row>
    <row r="155" spans="52:53" ht="30" customHeight="1" x14ac:dyDescent="0.25">
      <c r="AZ155" s="2" t="e" vm="696">
        <f>_xlfn.IMAGE(_xlfn.CONCAT("https://raw.githubusercontent.com/ItsCryp7iC/Genshin-Image-Hosting/main/",AZ$1,"/",WeaponsImg[[#This Row],[Name]],".png"),WeaponsImg[[#This Row],[Name]])</f>
        <v>#VALUE!</v>
      </c>
      <c r="BA155" s="2" t="s">
        <v>638</v>
      </c>
    </row>
    <row r="156" spans="52:53" ht="30" customHeight="1" x14ac:dyDescent="0.25">
      <c r="AZ156" s="2" t="e" vm="697">
        <f>_xlfn.IMAGE(_xlfn.CONCAT("https://raw.githubusercontent.com/ItsCryp7iC/Genshin-Image-Hosting/main/",AZ$1,"/",WeaponsImg[[#This Row],[Name]],".png"),WeaponsImg[[#This Row],[Name]])</f>
        <v>#VALUE!</v>
      </c>
      <c r="BA156" s="2" t="s">
        <v>639</v>
      </c>
    </row>
    <row r="157" spans="52:53" ht="30" customHeight="1" x14ac:dyDescent="0.25">
      <c r="AZ157" s="2" t="e" vm="698">
        <f>_xlfn.IMAGE(_xlfn.CONCAT("https://raw.githubusercontent.com/ItsCryp7iC/Genshin-Image-Hosting/main/",AZ$1,"/",WeaponsImg[[#This Row],[Name]],".png"),WeaponsImg[[#This Row],[Name]])</f>
        <v>#VALUE!</v>
      </c>
      <c r="BA157" s="2" t="s">
        <v>640</v>
      </c>
    </row>
    <row r="158" spans="52:53" ht="30" customHeight="1" x14ac:dyDescent="0.25">
      <c r="AZ158" s="2" t="e" vm="699">
        <f>_xlfn.IMAGE(_xlfn.CONCAT("https://raw.githubusercontent.com/ItsCryp7iC/Genshin-Image-Hosting/main/",AZ$1,"/",WeaponsImg[[#This Row],[Name]],".png"),WeaponsImg[[#This Row],[Name]])</f>
        <v>#VALUE!</v>
      </c>
      <c r="BA158" s="2" t="s">
        <v>641</v>
      </c>
    </row>
    <row r="159" spans="52:53" ht="30" customHeight="1" x14ac:dyDescent="0.25">
      <c r="AZ159" s="2" t="e" vm="700">
        <f>_xlfn.IMAGE(_xlfn.CONCAT("https://raw.githubusercontent.com/ItsCryp7iC/Genshin-Image-Hosting/main/",AZ$1,"/",WeaponsImg[[#This Row],[Name]],".png"),WeaponsImg[[#This Row],[Name]])</f>
        <v>#VALUE!</v>
      </c>
      <c r="BA159" s="2" t="s">
        <v>642</v>
      </c>
    </row>
    <row r="160" spans="52:53" ht="30" customHeight="1" x14ac:dyDescent="0.25">
      <c r="AZ160" s="2" t="e" vm="701">
        <f>_xlfn.IMAGE(_xlfn.CONCAT("https://raw.githubusercontent.com/ItsCryp7iC/Genshin-Image-Hosting/main/",AZ$1,"/",WeaponsImg[[#This Row],[Name]],".png"),WeaponsImg[[#This Row],[Name]])</f>
        <v>#VALUE!</v>
      </c>
      <c r="BA160" s="2" t="s">
        <v>643</v>
      </c>
    </row>
    <row r="161" spans="52:53" ht="30" customHeight="1" x14ac:dyDescent="0.25">
      <c r="AZ161" s="2" t="e" vm="702">
        <f>_xlfn.IMAGE(_xlfn.CONCAT("https://raw.githubusercontent.com/ItsCryp7iC/Genshin-Image-Hosting/main/",AZ$1,"/",WeaponsImg[[#This Row],[Name]],".png"),WeaponsImg[[#This Row],[Name]])</f>
        <v>#VALUE!</v>
      </c>
      <c r="BA161" s="2" t="s">
        <v>644</v>
      </c>
    </row>
    <row r="162" spans="52:53" ht="30" customHeight="1" x14ac:dyDescent="0.25">
      <c r="AZ162" s="2" t="e" vm="703">
        <f>_xlfn.IMAGE(_xlfn.CONCAT("https://raw.githubusercontent.com/ItsCryp7iC/Genshin-Image-Hosting/main/",AZ$1,"/",WeaponsImg[[#This Row],[Name]],".png"),WeaponsImg[[#This Row],[Name]])</f>
        <v>#VALUE!</v>
      </c>
      <c r="BA162" s="2" t="s">
        <v>645</v>
      </c>
    </row>
    <row r="163" spans="52:53" ht="30" customHeight="1" x14ac:dyDescent="0.25">
      <c r="AZ163" s="2" t="e" vm="704">
        <f>_xlfn.IMAGE(_xlfn.CONCAT("https://raw.githubusercontent.com/ItsCryp7iC/Genshin-Image-Hosting/main/",AZ$1,"/",WeaponsImg[[#This Row],[Name]],".png"),WeaponsImg[[#This Row],[Name]])</f>
        <v>#VALUE!</v>
      </c>
      <c r="BA163" s="2" t="s">
        <v>646</v>
      </c>
    </row>
    <row r="164" spans="52:53" ht="30" customHeight="1" x14ac:dyDescent="0.25">
      <c r="AZ164" s="2" t="e" vm="705">
        <f>_xlfn.IMAGE(_xlfn.CONCAT("https://raw.githubusercontent.com/ItsCryp7iC/Genshin-Image-Hosting/main/",AZ$1,"/",WeaponsImg[[#This Row],[Name]],".png"),WeaponsImg[[#This Row],[Name]])</f>
        <v>#VALUE!</v>
      </c>
      <c r="BA164" s="2" t="s">
        <v>647</v>
      </c>
    </row>
    <row r="165" spans="52:53" ht="30" customHeight="1" x14ac:dyDescent="0.25">
      <c r="AZ165" s="2" t="e" vm="706">
        <f>_xlfn.IMAGE(_xlfn.CONCAT("https://raw.githubusercontent.com/ItsCryp7iC/Genshin-Image-Hosting/main/",AZ$1,"/",WeaponsImg[[#This Row],[Name]],".png"),WeaponsImg[[#This Row],[Name]])</f>
        <v>#VALUE!</v>
      </c>
      <c r="BA165" s="2" t="s">
        <v>648</v>
      </c>
    </row>
    <row r="166" spans="52:53" ht="30" customHeight="1" x14ac:dyDescent="0.25">
      <c r="AZ166" s="2" t="e" vm="707">
        <f>_xlfn.IMAGE(_xlfn.CONCAT("https://raw.githubusercontent.com/ItsCryp7iC/Genshin-Image-Hosting/main/",AZ$1,"/",WeaponsImg[[#This Row],[Name]],".png"),WeaponsImg[[#This Row],[Name]])</f>
        <v>#VALUE!</v>
      </c>
      <c r="BA166" s="2" t="s">
        <v>649</v>
      </c>
    </row>
    <row r="167" spans="52:53" ht="30" customHeight="1" x14ac:dyDescent="0.25">
      <c r="AZ167" s="2" t="e" vm="708">
        <f>_xlfn.IMAGE(_xlfn.CONCAT("https://raw.githubusercontent.com/ItsCryp7iC/Genshin-Image-Hosting/main/",AZ$1,"/",WeaponsImg[[#This Row],[Name]],".png"),WeaponsImg[[#This Row],[Name]])</f>
        <v>#VALUE!</v>
      </c>
      <c r="BA167" s="2" t="s">
        <v>650</v>
      </c>
    </row>
    <row r="168" spans="52:53" ht="30" customHeight="1" x14ac:dyDescent="0.25">
      <c r="AZ168" s="2" t="e" vm="709">
        <f>_xlfn.IMAGE(_xlfn.CONCAT("https://raw.githubusercontent.com/ItsCryp7iC/Genshin-Image-Hosting/main/",AZ$1,"/",WeaponsImg[[#This Row],[Name]],".png"),WeaponsImg[[#This Row],[Name]])</f>
        <v>#VALUE!</v>
      </c>
      <c r="BA168" s="2" t="s">
        <v>651</v>
      </c>
    </row>
    <row r="169" spans="52:53" ht="30" customHeight="1" x14ac:dyDescent="0.25">
      <c r="AZ169" s="2" t="e" vm="710">
        <f>_xlfn.IMAGE(_xlfn.CONCAT("https://raw.githubusercontent.com/ItsCryp7iC/Genshin-Image-Hosting/main/",AZ$1,"/",WeaponsImg[[#This Row],[Name]],".png"),WeaponsImg[[#This Row],[Name]])</f>
        <v>#VALUE!</v>
      </c>
      <c r="BA169" s="2" t="s">
        <v>652</v>
      </c>
    </row>
    <row r="170" spans="52:53" ht="30" customHeight="1" x14ac:dyDescent="0.25">
      <c r="AZ170" s="2" t="e" vm="711">
        <f>_xlfn.IMAGE(_xlfn.CONCAT("https://raw.githubusercontent.com/ItsCryp7iC/Genshin-Image-Hosting/main/",AZ$1,"/",WeaponsImg[[#This Row],[Name]],".png"),WeaponsImg[[#This Row],[Name]])</f>
        <v>#VALUE!</v>
      </c>
      <c r="BA170" s="2" t="s">
        <v>653</v>
      </c>
    </row>
    <row r="171" spans="52:53" ht="30" customHeight="1" x14ac:dyDescent="0.25">
      <c r="AZ171" s="2" t="e" vm="712">
        <f>_xlfn.IMAGE(_xlfn.CONCAT("https://raw.githubusercontent.com/ItsCryp7iC/Genshin-Image-Hosting/main/",AZ$1,"/",WeaponsImg[[#This Row],[Name]],".png"),WeaponsImg[[#This Row],[Name]])</f>
        <v>#VALUE!</v>
      </c>
      <c r="BA171" s="2" t="s">
        <v>654</v>
      </c>
    </row>
    <row r="172" spans="52:53" ht="30" customHeight="1" x14ac:dyDescent="0.25">
      <c r="AZ172" s="2" t="e" vm="713">
        <f>_xlfn.IMAGE(_xlfn.CONCAT("https://raw.githubusercontent.com/ItsCryp7iC/Genshin-Image-Hosting/main/",AZ$1,"/",WeaponsImg[[#This Row],[Name]],".png"),WeaponsImg[[#This Row],[Name]])</f>
        <v>#VALUE!</v>
      </c>
      <c r="BA172" s="2" t="s">
        <v>655</v>
      </c>
    </row>
    <row r="173" spans="52:53" ht="30" customHeight="1" x14ac:dyDescent="0.25">
      <c r="AZ173" s="2" t="e" vm="714">
        <f>_xlfn.IMAGE(_xlfn.CONCAT("https://raw.githubusercontent.com/ItsCryp7iC/Genshin-Image-Hosting/main/",AZ$1,"/",WeaponsImg[[#This Row],[Name]],".png"),WeaponsImg[[#This Row],[Name]])</f>
        <v>#VALUE!</v>
      </c>
      <c r="BA173" s="2" t="s">
        <v>656</v>
      </c>
    </row>
    <row r="174" spans="52:53" ht="30" customHeight="1" x14ac:dyDescent="0.25">
      <c r="AZ174" s="2" t="e" vm="715">
        <f>_xlfn.IMAGE(_xlfn.CONCAT("https://raw.githubusercontent.com/ItsCryp7iC/Genshin-Image-Hosting/main/",AZ$1,"/",WeaponsImg[[#This Row],[Name]],".png"),WeaponsImg[[#This Row],[Name]])</f>
        <v>#VALUE!</v>
      </c>
      <c r="BA174" s="2" t="s">
        <v>657</v>
      </c>
    </row>
    <row r="175" spans="52:53" ht="30" customHeight="1" x14ac:dyDescent="0.25">
      <c r="AZ175" s="2" t="e" vm="716">
        <f>_xlfn.IMAGE(_xlfn.CONCAT("https://raw.githubusercontent.com/ItsCryp7iC/Genshin-Image-Hosting/main/",AZ$1,"/",WeaponsImg[[#This Row],[Name]],".png"),WeaponsImg[[#This Row],[Name]])</f>
        <v>#VALUE!</v>
      </c>
      <c r="BA175" s="2" t="s">
        <v>658</v>
      </c>
    </row>
    <row r="176" spans="52:53" ht="30" customHeight="1" x14ac:dyDescent="0.25">
      <c r="AZ176" s="2" t="e" vm="717">
        <f>_xlfn.IMAGE(_xlfn.CONCAT("https://raw.githubusercontent.com/ItsCryp7iC/Genshin-Image-Hosting/main/",AZ$1,"/",WeaponsImg[[#This Row],[Name]],".png"),WeaponsImg[[#This Row],[Name]])</f>
        <v>#VALUE!</v>
      </c>
      <c r="BA176" s="2" t="s">
        <v>659</v>
      </c>
    </row>
  </sheetData>
  <mergeCells count="15">
    <mergeCell ref="AT1:AU1"/>
    <mergeCell ref="AW1:AX1"/>
    <mergeCell ref="AZ1:BA1"/>
    <mergeCell ref="BC1:BD1"/>
    <mergeCell ref="D1:E1"/>
    <mergeCell ref="AL1:AM1"/>
    <mergeCell ref="AQ1:AR1"/>
    <mergeCell ref="AI1:AJ1"/>
    <mergeCell ref="A1:B1"/>
    <mergeCell ref="P1:R1"/>
    <mergeCell ref="T1:V1"/>
    <mergeCell ref="AF1:AG1"/>
    <mergeCell ref="AC1:AD1"/>
    <mergeCell ref="AA1:AB1"/>
    <mergeCell ref="Y1:Z1"/>
  </mergeCells>
  <phoneticPr fontId="3" type="noConversion"/>
  <pageMargins left="0.7" right="0.7" top="0.75" bottom="0.75" header="0.3" footer="0.3"/>
  <legacyDrawing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>
    <tabColor rgb="FF66FF33"/>
  </sheetPr>
  <dimension ref="A1:AA70"/>
  <sheetViews>
    <sheetView showGridLines="0" tabSelected="1" workbookViewId="0">
      <selection activeCell="D11" sqref="D11"/>
    </sheetView>
  </sheetViews>
  <sheetFormatPr defaultColWidth="9.140625" defaultRowHeight="15.75" x14ac:dyDescent="0.25"/>
  <cols>
    <col min="1" max="2" width="11.42578125" style="36" customWidth="1"/>
    <col min="3" max="3" width="0.7109375" style="36" customWidth="1"/>
    <col min="4" max="5" width="11.42578125" style="36" customWidth="1"/>
    <col min="6" max="6" width="0.7109375" style="36" customWidth="1"/>
    <col min="7" max="8" width="11.42578125" style="36" customWidth="1"/>
    <col min="9" max="9" width="0.7109375" style="36" customWidth="1"/>
    <col min="10" max="13" width="11.42578125" style="36" customWidth="1"/>
    <col min="14" max="14" width="11.42578125" style="45" customWidth="1"/>
    <col min="15" max="15" width="11.42578125" style="36" customWidth="1"/>
    <col min="16" max="16" width="0.7109375" style="36" customWidth="1"/>
    <col min="17" max="18" width="11.42578125" style="36" customWidth="1"/>
    <col min="19" max="19" width="0.7109375" style="36" customWidth="1"/>
    <col min="20" max="21" width="11.42578125" style="36" customWidth="1"/>
    <col min="22" max="22" width="0.7109375" style="36" customWidth="1"/>
    <col min="23" max="24" width="11.42578125" style="36" customWidth="1"/>
    <col min="25" max="25" width="0.7109375" style="36" customWidth="1"/>
    <col min="26" max="26" width="11.42578125" style="36" customWidth="1"/>
    <col min="27" max="27" width="19" style="36" customWidth="1"/>
    <col min="28" max="16384" width="9.140625" style="36"/>
  </cols>
  <sheetData>
    <row r="1" spans="1:27" ht="35.25" x14ac:dyDescent="0.25">
      <c r="A1" s="198" t="s">
        <v>660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</row>
    <row r="2" spans="1:27" s="37" customFormat="1" ht="3.75" customHeight="1" x14ac:dyDescent="0.3"/>
    <row r="3" spans="1:27" x14ac:dyDescent="0.25">
      <c r="A3" s="199" t="s">
        <v>66</v>
      </c>
      <c r="B3" s="199"/>
      <c r="C3" s="38"/>
      <c r="D3" s="199" t="s">
        <v>0</v>
      </c>
      <c r="E3" s="199"/>
      <c r="F3" s="38"/>
      <c r="G3" s="199" t="s">
        <v>4</v>
      </c>
      <c r="H3" s="199"/>
      <c r="I3" s="38"/>
      <c r="J3" s="199" t="s">
        <v>67</v>
      </c>
      <c r="K3" s="199"/>
      <c r="L3" s="199"/>
      <c r="M3" s="199"/>
      <c r="N3" s="199"/>
      <c r="O3" s="199"/>
      <c r="P3" s="38"/>
      <c r="Q3" s="199" t="s">
        <v>68</v>
      </c>
      <c r="R3" s="199"/>
      <c r="S3" s="38"/>
      <c r="T3" s="199" t="s">
        <v>684</v>
      </c>
      <c r="U3" s="199"/>
      <c r="V3" s="38"/>
      <c r="W3" s="199" t="s">
        <v>69</v>
      </c>
      <c r="X3" s="199"/>
      <c r="Y3" s="38"/>
      <c r="Z3" s="199" t="s">
        <v>70</v>
      </c>
      <c r="AA3" s="199"/>
    </row>
    <row r="4" spans="1:27" ht="15" customHeight="1" x14ac:dyDescent="0.25">
      <c r="A4" s="39" t="s">
        <v>74</v>
      </c>
      <c r="B4" s="39" t="s">
        <v>661</v>
      </c>
      <c r="C4" s="39"/>
      <c r="D4" s="39" t="s">
        <v>74</v>
      </c>
      <c r="E4" s="39" t="s">
        <v>661</v>
      </c>
      <c r="F4" s="39"/>
      <c r="G4" s="39" t="s">
        <v>74</v>
      </c>
      <c r="H4" s="39" t="s">
        <v>661</v>
      </c>
      <c r="I4" s="39"/>
      <c r="J4" s="39" t="s">
        <v>818</v>
      </c>
      <c r="K4" s="39" t="s">
        <v>820</v>
      </c>
      <c r="L4" s="39" t="s">
        <v>821</v>
      </c>
      <c r="M4" s="39" t="s">
        <v>822</v>
      </c>
      <c r="N4" s="40" t="s">
        <v>819</v>
      </c>
      <c r="O4" s="39" t="s">
        <v>823</v>
      </c>
      <c r="P4" s="39"/>
      <c r="Q4" s="39" t="s">
        <v>74</v>
      </c>
      <c r="R4" s="39" t="s">
        <v>661</v>
      </c>
      <c r="S4" s="39"/>
      <c r="T4" s="39" t="s">
        <v>74</v>
      </c>
      <c r="U4" s="39" t="s">
        <v>661</v>
      </c>
      <c r="V4" s="39"/>
      <c r="W4" s="39" t="s">
        <v>74</v>
      </c>
      <c r="X4" s="39" t="s">
        <v>661</v>
      </c>
      <c r="Y4" s="39"/>
      <c r="Z4" s="39" t="s">
        <v>74</v>
      </c>
      <c r="AA4" s="39" t="s">
        <v>661</v>
      </c>
    </row>
    <row r="5" spans="1:27" ht="30" customHeight="1" x14ac:dyDescent="0.25">
      <c r="A5" s="36" t="e" vm="718">
        <f>ImgDatabase!A3</f>
        <v>#VALUE!</v>
      </c>
      <c r="B5" s="41">
        <v>3183</v>
      </c>
      <c r="D5" s="36" t="e" vm="132">
        <f>ImgDatabase!P3</f>
        <v>#VALUE!</v>
      </c>
      <c r="E5" s="41">
        <v>55</v>
      </c>
      <c r="G5" s="36" t="e" vm="52">
        <f>ImgDatabase!T3</f>
        <v>#VALUE!</v>
      </c>
      <c r="H5" s="41">
        <v>26</v>
      </c>
      <c r="J5" s="36" t="e" vm="462">
        <f>ImgDatabase!Z3</f>
        <v>#VALUE!</v>
      </c>
      <c r="K5" s="42">
        <v>255</v>
      </c>
      <c r="L5" s="43" t="e" vm="719">
        <f>ImgDatabase!AB3</f>
        <v>#VALUE!</v>
      </c>
      <c r="M5" s="42">
        <v>133</v>
      </c>
      <c r="N5" s="43" t="e" vm="720">
        <f>ImgDatabase!AD3</f>
        <v>#VALUE!</v>
      </c>
      <c r="O5" s="41">
        <v>235</v>
      </c>
      <c r="Q5" s="36" t="e" vm="351">
        <f>ImgDatabase!AF3</f>
        <v>#VALUE!</v>
      </c>
      <c r="R5" s="41">
        <v>36</v>
      </c>
      <c r="T5" s="36" t="e" vm="536">
        <f>ImgDatabase!AI3</f>
        <v>#VALUE!</v>
      </c>
      <c r="U5" s="41">
        <v>68</v>
      </c>
      <c r="W5" s="36" t="e" vm="293">
        <f>ImgDatabase!AL3</f>
        <v>#VALUE!</v>
      </c>
      <c r="X5" s="41">
        <v>0</v>
      </c>
      <c r="Z5" s="36" t="e" vm="721">
        <f>ImgDatabase!AQ3</f>
        <v>#VALUE!</v>
      </c>
      <c r="AA5" s="44">
        <v>47607577</v>
      </c>
    </row>
    <row r="6" spans="1:27" ht="30" customHeight="1" x14ac:dyDescent="0.25">
      <c r="A6" s="36" t="e" vm="722">
        <f>ImgDatabase!A4</f>
        <v>#VALUE!</v>
      </c>
      <c r="B6" s="41">
        <v>10602</v>
      </c>
      <c r="D6" s="36" t="e" vm="210">
        <f>ImgDatabase!P4</f>
        <v>#VALUE!</v>
      </c>
      <c r="E6" s="41">
        <v>125</v>
      </c>
      <c r="G6" s="36" t="e" vm="531">
        <f>ImgDatabase!T4</f>
        <v>#VALUE!</v>
      </c>
      <c r="H6" s="41">
        <v>19</v>
      </c>
      <c r="J6" s="36" t="e" vm="133">
        <f>ImgDatabase!Z4</f>
        <v>#VALUE!</v>
      </c>
      <c r="K6" s="42">
        <v>104</v>
      </c>
      <c r="L6" s="43" t="e" vm="723">
        <f>ImgDatabase!AB4</f>
        <v>#VALUE!</v>
      </c>
      <c r="M6" s="42">
        <v>481</v>
      </c>
      <c r="N6" s="43" t="e" vm="724">
        <f>ImgDatabase!AD4</f>
        <v>#VALUE!</v>
      </c>
      <c r="O6" s="41">
        <v>2024</v>
      </c>
      <c r="Q6" s="36" t="e" vm="725">
        <f>ImgDatabase!AF4</f>
        <v>#VALUE!</v>
      </c>
      <c r="R6" s="41">
        <v>81</v>
      </c>
      <c r="T6" s="36" t="e" vm="532">
        <f>ImgDatabase!AI4</f>
        <v>#VALUE!</v>
      </c>
      <c r="U6" s="41">
        <v>507</v>
      </c>
      <c r="W6" s="36" t="e" vm="726">
        <f>ImgDatabase!AL4</f>
        <v>#VALUE!</v>
      </c>
      <c r="X6" s="41">
        <v>0</v>
      </c>
      <c r="Z6" s="36" t="e" vm="727">
        <f>ImgDatabase!AQ4</f>
        <v>#VALUE!</v>
      </c>
      <c r="AA6" s="41">
        <v>14</v>
      </c>
    </row>
    <row r="7" spans="1:27" ht="30" customHeight="1" x14ac:dyDescent="0.25">
      <c r="A7" s="36" t="e" vm="728">
        <f>ImgDatabase!A5</f>
        <v>#VALUE!</v>
      </c>
      <c r="B7" s="41">
        <v>1499</v>
      </c>
      <c r="D7" s="36" t="e" vm="166">
        <f>ImgDatabase!P5</f>
        <v>#VALUE!</v>
      </c>
      <c r="E7" s="41">
        <v>204</v>
      </c>
      <c r="G7" s="36" t="e" vm="292">
        <f>ImgDatabase!T5</f>
        <v>#VALUE!</v>
      </c>
      <c r="H7" s="41">
        <v>30</v>
      </c>
      <c r="J7" s="36" t="e" vm="10">
        <f>ImgDatabase!Z5</f>
        <v>#VALUE!</v>
      </c>
      <c r="K7" s="42">
        <v>8</v>
      </c>
      <c r="L7" s="43" t="e" vm="729">
        <f>ImgDatabase!AB5</f>
        <v>#VALUE!</v>
      </c>
      <c r="M7" s="42">
        <v>55</v>
      </c>
      <c r="N7" s="43" t="e" vm="730">
        <f>ImgDatabase!AD5</f>
        <v>#VALUE!</v>
      </c>
      <c r="O7" s="41">
        <v>2035</v>
      </c>
      <c r="Q7" s="36" t="e" vm="731">
        <f>ImgDatabase!AF5</f>
        <v>#VALUE!</v>
      </c>
      <c r="R7" s="41">
        <v>50</v>
      </c>
      <c r="T7" s="36" t="e" vm="11">
        <f>ImgDatabase!AI5</f>
        <v>#VALUE!</v>
      </c>
      <c r="U7" s="41">
        <v>16</v>
      </c>
      <c r="W7" s="36" t="e" vm="732">
        <f>ImgDatabase!AL5</f>
        <v>#VALUE!</v>
      </c>
      <c r="X7" s="41">
        <v>0</v>
      </c>
      <c r="Z7" s="36" t="e" vm="733">
        <f>ImgDatabase!AQ5</f>
        <v>#VALUE!</v>
      </c>
      <c r="AA7" s="41">
        <v>50</v>
      </c>
    </row>
    <row r="8" spans="1:27" ht="30" customHeight="1" x14ac:dyDescent="0.25">
      <c r="A8" s="36" t="e" vm="734">
        <f>ImgDatabase!A6</f>
        <v>#VALUE!</v>
      </c>
      <c r="B8" s="41">
        <v>467</v>
      </c>
      <c r="D8" s="36" t="e" vm="51">
        <f>ImgDatabase!P6</f>
        <v>#VALUE!</v>
      </c>
      <c r="E8" s="41">
        <v>135</v>
      </c>
      <c r="G8" s="36" t="e" vm="282">
        <f>ImgDatabase!T6</f>
        <v>#VALUE!</v>
      </c>
      <c r="H8" s="41">
        <v>10</v>
      </c>
      <c r="J8" s="36" t="e" vm="302">
        <f>ImgDatabase!Z6</f>
        <v>#VALUE!</v>
      </c>
      <c r="K8" s="42">
        <v>29</v>
      </c>
      <c r="L8" s="43" t="e" vm="735">
        <f>ImgDatabase!AB6</f>
        <v>#VALUE!</v>
      </c>
      <c r="M8" s="42">
        <v>175</v>
      </c>
      <c r="N8" s="43" t="e" vm="736">
        <f>ImgDatabase!AD6</f>
        <v>#VALUE!</v>
      </c>
      <c r="O8" s="41">
        <v>1564</v>
      </c>
      <c r="Q8" s="36" t="e" vm="53">
        <f>ImgDatabase!AF6</f>
        <v>#VALUE!</v>
      </c>
      <c r="R8" s="41">
        <v>34</v>
      </c>
      <c r="T8" s="36" t="e" vm="55">
        <f>ImgDatabase!AI6</f>
        <v>#VALUE!</v>
      </c>
      <c r="U8" s="41">
        <v>97</v>
      </c>
      <c r="W8" s="36" t="e" vm="737">
        <f>ImgDatabase!AL6</f>
        <v>#VALUE!</v>
      </c>
      <c r="X8" s="41">
        <v>0</v>
      </c>
    </row>
    <row r="9" spans="1:27" ht="30" customHeight="1" x14ac:dyDescent="0.25">
      <c r="D9" s="36" t="e" vm="337">
        <f>ImgDatabase!P7</f>
        <v>#VALUE!</v>
      </c>
      <c r="E9" s="41">
        <v>1</v>
      </c>
      <c r="G9" s="36" t="e" vm="211">
        <f>ImgDatabase!T7</f>
        <v>#VALUE!</v>
      </c>
      <c r="H9" s="41">
        <v>15</v>
      </c>
      <c r="J9" s="36" t="e" vm="435">
        <f>ImgDatabase!Z7</f>
        <v>#VALUE!</v>
      </c>
      <c r="K9" s="42">
        <v>234</v>
      </c>
      <c r="L9" s="43" t="e" vm="738">
        <f>ImgDatabase!AB7</f>
        <v>#VALUE!</v>
      </c>
      <c r="M9" s="42">
        <v>273</v>
      </c>
      <c r="N9" s="43" t="e" vm="739">
        <f>ImgDatabase!AD7</f>
        <v>#VALUE!</v>
      </c>
      <c r="O9" s="41">
        <v>1869</v>
      </c>
      <c r="Q9" s="36" t="e" vm="740">
        <f>ImgDatabase!AF7</f>
        <v>#VALUE!</v>
      </c>
      <c r="R9" s="41">
        <v>59</v>
      </c>
      <c r="T9" s="36" t="e" vm="556">
        <f>ImgDatabase!AI7</f>
        <v>#VALUE!</v>
      </c>
      <c r="U9" s="41">
        <v>7</v>
      </c>
      <c r="W9" s="36" t="e" vm="56">
        <f>ImgDatabase!AL7</f>
        <v>#VALUE!</v>
      </c>
      <c r="X9" s="41">
        <v>18</v>
      </c>
    </row>
    <row r="10" spans="1:27" ht="30" customHeight="1" x14ac:dyDescent="0.25">
      <c r="D10" s="36" t="e" vm="7">
        <f>ImgDatabase!P8</f>
        <v>#VALUE!</v>
      </c>
      <c r="E10" s="41">
        <v>0</v>
      </c>
      <c r="G10" s="36" t="e" vm="167">
        <f>ImgDatabase!T8</f>
        <v>#VALUE!</v>
      </c>
      <c r="H10" s="41">
        <v>1</v>
      </c>
      <c r="J10" s="36" t="e" vm="54">
        <f>ImgDatabase!Z8</f>
        <v>#VALUE!</v>
      </c>
      <c r="K10" s="42">
        <v>76</v>
      </c>
      <c r="L10" s="43" t="e" vm="741">
        <f>ImgDatabase!AB8</f>
        <v>#VALUE!</v>
      </c>
      <c r="M10" s="42">
        <v>359</v>
      </c>
      <c r="N10" s="43" t="e" vm="742">
        <f>ImgDatabase!AD8</f>
        <v>#VALUE!</v>
      </c>
      <c r="O10" s="41">
        <v>2846</v>
      </c>
      <c r="Q10" s="36" t="e" vm="743">
        <f>ImgDatabase!AF8</f>
        <v>#VALUE!</v>
      </c>
      <c r="R10" s="41">
        <v>44</v>
      </c>
      <c r="T10" s="36" t="e" vm="361">
        <f>ImgDatabase!AI8</f>
        <v>#VALUE!</v>
      </c>
      <c r="U10" s="41">
        <v>50</v>
      </c>
      <c r="W10" s="36" t="e" vm="744">
        <f>ImgDatabase!AL8</f>
        <v>#VALUE!</v>
      </c>
      <c r="X10" s="41">
        <v>41</v>
      </c>
    </row>
    <row r="11" spans="1:27" ht="30" customHeight="1" x14ac:dyDescent="0.25">
      <c r="D11" s="36" t="e" vm="598">
        <f>ImgDatabase!P9</f>
        <v>#VALUE!</v>
      </c>
      <c r="E11" s="41">
        <v>21</v>
      </c>
      <c r="G11" s="36" t="e" vm="8">
        <f>ImgDatabase!T9</f>
        <v>#VALUE!</v>
      </c>
      <c r="H11" s="41">
        <v>13</v>
      </c>
      <c r="J11" s="36" t="e" vm="115">
        <f>ImgDatabase!Z9</f>
        <v>#VALUE!</v>
      </c>
      <c r="K11" s="42">
        <v>37</v>
      </c>
      <c r="L11" s="43" t="e" vm="745">
        <f>ImgDatabase!AB9</f>
        <v>#VALUE!</v>
      </c>
      <c r="M11" s="42">
        <v>103</v>
      </c>
      <c r="N11" s="43" t="e" vm="746">
        <f>ImgDatabase!AD9</f>
        <v>#VALUE!</v>
      </c>
      <c r="O11" s="41">
        <v>630</v>
      </c>
      <c r="Q11" s="36" t="e" vm="9">
        <f>ImgDatabase!AF9</f>
        <v>#VALUE!</v>
      </c>
      <c r="R11" s="41">
        <v>10</v>
      </c>
      <c r="T11" s="36" t="e" vm="168">
        <f>ImgDatabase!AI9</f>
        <v>#VALUE!</v>
      </c>
      <c r="U11" s="41">
        <v>190</v>
      </c>
      <c r="W11" s="36" t="e" vm="747">
        <f>ImgDatabase!AL9</f>
        <v>#VALUE!</v>
      </c>
      <c r="X11" s="41">
        <v>141</v>
      </c>
    </row>
    <row r="12" spans="1:27" ht="30" customHeight="1" x14ac:dyDescent="0.25">
      <c r="D12" s="36" t="e" vm="349">
        <f>ImgDatabase!P10</f>
        <v>#VALUE!</v>
      </c>
      <c r="E12" s="41">
        <v>46</v>
      </c>
      <c r="G12" s="36" t="e" vm="380">
        <f>ImgDatabase!T10</f>
        <v>#VALUE!</v>
      </c>
      <c r="H12" s="41">
        <v>18</v>
      </c>
      <c r="J12" s="36" t="e" vm="184">
        <f>ImgDatabase!Z10</f>
        <v>#VALUE!</v>
      </c>
      <c r="K12" s="42">
        <v>14</v>
      </c>
      <c r="L12" s="43" t="e" vm="748">
        <f>ImgDatabase!AB10</f>
        <v>#VALUE!</v>
      </c>
      <c r="M12" s="42">
        <v>23</v>
      </c>
      <c r="N12" s="43" t="e" vm="749">
        <f>ImgDatabase!AD10</f>
        <v>#VALUE!</v>
      </c>
      <c r="O12" s="41">
        <v>18</v>
      </c>
      <c r="Q12" s="36" t="e" vm="750">
        <f>ImgDatabase!AF10</f>
        <v>#VALUE!</v>
      </c>
      <c r="R12" s="41">
        <v>61</v>
      </c>
      <c r="T12" s="36" t="e" vm="134">
        <f>ImgDatabase!AI10</f>
        <v>#VALUE!</v>
      </c>
      <c r="U12" s="41">
        <v>24</v>
      </c>
      <c r="W12" s="36" t="e" vm="751">
        <f>ImgDatabase!AL10</f>
        <v>#VALUE!</v>
      </c>
      <c r="X12" s="41">
        <v>191</v>
      </c>
    </row>
    <row r="13" spans="1:27" ht="30" customHeight="1" x14ac:dyDescent="0.25">
      <c r="D13" s="36" t="e" vm="149">
        <f>ImgDatabase!P11</f>
        <v>#VALUE!</v>
      </c>
      <c r="E13" s="41">
        <v>46</v>
      </c>
      <c r="G13" s="36" t="e" vm="408">
        <f>ImgDatabase!T11</f>
        <v>#VALUE!</v>
      </c>
      <c r="H13" s="41">
        <v>31</v>
      </c>
      <c r="J13" s="36" t="e" vm="75">
        <f>ImgDatabase!Z11</f>
        <v>#VALUE!</v>
      </c>
      <c r="K13" s="42">
        <v>1</v>
      </c>
      <c r="L13" s="43" t="e" vm="752">
        <f>ImgDatabase!AB11</f>
        <v>#VALUE!</v>
      </c>
      <c r="M13" s="42">
        <v>4</v>
      </c>
      <c r="N13" s="43" t="e" vm="753">
        <f>ImgDatabase!AD11</f>
        <v>#VALUE!</v>
      </c>
      <c r="O13" s="41">
        <v>45</v>
      </c>
      <c r="Q13" s="36" t="e" vm="754">
        <f>ImgDatabase!AF11</f>
        <v>#VALUE!</v>
      </c>
      <c r="R13" s="41">
        <v>49</v>
      </c>
      <c r="T13" s="36" t="e" vm="621">
        <f>ImgDatabase!AI11</f>
        <v>#VALUE!</v>
      </c>
      <c r="U13" s="41">
        <v>171</v>
      </c>
      <c r="W13" s="36" t="e" vm="117">
        <f>ImgDatabase!AL11</f>
        <v>#VALUE!</v>
      </c>
      <c r="X13" s="41">
        <v>6</v>
      </c>
    </row>
    <row r="14" spans="1:27" ht="30" customHeight="1" x14ac:dyDescent="0.25">
      <c r="D14" s="36" t="e" vm="181">
        <f>ImgDatabase!P12</f>
        <v>#VALUE!</v>
      </c>
      <c r="E14" s="41">
        <v>48</v>
      </c>
      <c r="G14" s="36" t="e" vm="311">
        <f>ImgDatabase!T12</f>
        <v>#VALUE!</v>
      </c>
      <c r="H14" s="41">
        <v>15</v>
      </c>
      <c r="J14" s="36" t="e" vm="272">
        <f>ImgDatabase!Z12</f>
        <v>#VALUE!</v>
      </c>
      <c r="K14" s="42">
        <v>13</v>
      </c>
      <c r="L14" s="43" t="e" vm="755">
        <f>ImgDatabase!AB12</f>
        <v>#VALUE!</v>
      </c>
      <c r="M14" s="42">
        <v>238</v>
      </c>
      <c r="N14" s="43" t="e" vm="756">
        <f>ImgDatabase!AD12</f>
        <v>#VALUE!</v>
      </c>
      <c r="O14" s="41">
        <v>1177</v>
      </c>
      <c r="Q14" s="36" t="e" vm="212">
        <f>ImgDatabase!AF12</f>
        <v>#VALUE!</v>
      </c>
      <c r="R14" s="41">
        <v>17</v>
      </c>
      <c r="T14" s="36" t="e" vm="487">
        <f>ImgDatabase!AI12</f>
        <v>#VALUE!</v>
      </c>
      <c r="U14" s="41">
        <v>199</v>
      </c>
      <c r="W14" s="36" t="e" vm="757">
        <f>ImgDatabase!AL12</f>
        <v>#VALUE!</v>
      </c>
      <c r="X14" s="41">
        <v>12</v>
      </c>
    </row>
    <row r="15" spans="1:27" ht="30" customHeight="1" x14ac:dyDescent="0.25">
      <c r="D15" s="36" t="e" vm="473">
        <f>ImgDatabase!P13</f>
        <v>#VALUE!</v>
      </c>
      <c r="E15" s="41">
        <v>46</v>
      </c>
      <c r="G15" s="36" t="e" vm="182">
        <f>ImgDatabase!T13</f>
        <v>#VALUE!</v>
      </c>
      <c r="H15" s="41">
        <v>27</v>
      </c>
      <c r="J15" s="36" t="e" vm="32">
        <f>ImgDatabase!Z13</f>
        <v>#VALUE!</v>
      </c>
      <c r="K15" s="42">
        <v>210</v>
      </c>
      <c r="L15" s="43" t="e" vm="758">
        <f>ImgDatabase!AB13</f>
        <v>#VALUE!</v>
      </c>
      <c r="M15" s="42">
        <v>213</v>
      </c>
      <c r="N15" s="43" t="e" vm="759">
        <f>ImgDatabase!AD13</f>
        <v>#VALUE!</v>
      </c>
      <c r="O15" s="41">
        <v>959</v>
      </c>
      <c r="Q15" s="36" t="e" vm="760">
        <f>ImgDatabase!AF13</f>
        <v>#VALUE!</v>
      </c>
      <c r="R15" s="41">
        <v>126</v>
      </c>
      <c r="T15" s="36" t="e" vm="339">
        <f>ImgDatabase!AI13</f>
        <v>#VALUE!</v>
      </c>
      <c r="U15" s="41">
        <v>516</v>
      </c>
      <c r="W15" s="36" t="e" vm="761">
        <f>ImgDatabase!AL13</f>
        <v>#VALUE!</v>
      </c>
      <c r="X15" s="41">
        <v>88</v>
      </c>
    </row>
    <row r="16" spans="1:27" ht="30" customHeight="1" x14ac:dyDescent="0.25">
      <c r="D16" s="36" t="e" vm="197">
        <f>ImgDatabase!P14</f>
        <v>#VALUE!</v>
      </c>
      <c r="E16" s="41">
        <v>2</v>
      </c>
      <c r="G16" s="36" t="e" vm="150">
        <f>ImgDatabase!T14</f>
        <v>#VALUE!</v>
      </c>
      <c r="H16" s="41">
        <v>20</v>
      </c>
      <c r="J16" s="36" t="e" vm="95">
        <f>ImgDatabase!Z14</f>
        <v>#VALUE!</v>
      </c>
      <c r="K16" s="42">
        <v>39</v>
      </c>
      <c r="L16" s="43" t="e" vm="762">
        <f>ImgDatabase!AB14</f>
        <v>#VALUE!</v>
      </c>
      <c r="M16" s="42">
        <v>93</v>
      </c>
      <c r="N16" s="43" t="e" vm="763">
        <f>ImgDatabase!AD14</f>
        <v>#VALUE!</v>
      </c>
      <c r="O16" s="41">
        <v>466</v>
      </c>
      <c r="Q16" s="36" t="e" vm="764">
        <f>ImgDatabase!AF14</f>
        <v>#VALUE!</v>
      </c>
      <c r="R16" s="41">
        <v>121</v>
      </c>
      <c r="T16" s="36" t="e" vm="576">
        <f>ImgDatabase!AI14</f>
        <v>#VALUE!</v>
      </c>
      <c r="U16" s="41">
        <v>216</v>
      </c>
      <c r="W16" s="36" t="e" vm="765">
        <f>ImgDatabase!AL14</f>
        <v>#VALUE!</v>
      </c>
      <c r="X16" s="41">
        <v>113</v>
      </c>
    </row>
    <row r="17" spans="4:24" ht="30" customHeight="1" x14ac:dyDescent="0.25">
      <c r="D17" s="36" t="e" vm="424">
        <f>ImgDatabase!P15</f>
        <v>#VALUE!</v>
      </c>
      <c r="E17" s="41">
        <v>47</v>
      </c>
      <c r="G17" s="36" t="e" vm="350">
        <f>ImgDatabase!T15</f>
        <v>#VALUE!</v>
      </c>
      <c r="H17" s="41">
        <v>17</v>
      </c>
      <c r="J17" s="36" t="e" vm="261">
        <f>ImgDatabase!Z15</f>
        <v>#VALUE!</v>
      </c>
      <c r="K17" s="42">
        <v>136</v>
      </c>
      <c r="L17" s="43" t="e" vm="766">
        <f>ImgDatabase!AB15</f>
        <v>#VALUE!</v>
      </c>
      <c r="M17" s="42">
        <v>238</v>
      </c>
      <c r="N17" s="43" t="e" vm="767">
        <f>ImgDatabase!AD15</f>
        <v>#VALUE!</v>
      </c>
      <c r="O17" s="41">
        <v>601</v>
      </c>
      <c r="Q17" s="36" t="e" vm="151">
        <f>ImgDatabase!AF15</f>
        <v>#VALUE!</v>
      </c>
      <c r="R17" s="41">
        <v>11</v>
      </c>
      <c r="T17" s="36" t="e" vm="409">
        <f>ImgDatabase!AI15</f>
        <v>#VALUE!</v>
      </c>
      <c r="U17" s="41">
        <v>113</v>
      </c>
      <c r="W17" s="36" t="e" vm="34">
        <f>ImgDatabase!AL15</f>
        <v>#VALUE!</v>
      </c>
      <c r="X17" s="41">
        <v>3</v>
      </c>
    </row>
    <row r="18" spans="4:24" ht="30" customHeight="1" x14ac:dyDescent="0.25">
      <c r="D18" s="36" t="e" vm="480">
        <f>ImgDatabase!P16</f>
        <v>#VALUE!</v>
      </c>
      <c r="E18" s="41">
        <v>47</v>
      </c>
      <c r="G18" s="36" t="e" vm="579">
        <f>ImgDatabase!T16</f>
        <v>#VALUE!</v>
      </c>
      <c r="H18" s="41">
        <v>4</v>
      </c>
      <c r="Q18" s="36" t="e" vm="768">
        <f>ImgDatabase!AF16</f>
        <v>#VALUE!</v>
      </c>
      <c r="R18" s="41">
        <v>134</v>
      </c>
      <c r="T18" s="36" t="e" vm="450">
        <f>ImgDatabase!AI16</f>
        <v>#VALUE!</v>
      </c>
      <c r="U18" s="41">
        <v>34</v>
      </c>
      <c r="W18" s="36" t="e" vm="769">
        <f>ImgDatabase!AL16</f>
        <v>#VALUE!</v>
      </c>
      <c r="X18" s="41">
        <v>43</v>
      </c>
    </row>
    <row r="19" spans="4:24" ht="30" customHeight="1" x14ac:dyDescent="0.25">
      <c r="D19" s="36" t="e" vm="595">
        <f>ImgDatabase!P17</f>
        <v>#VALUE!</v>
      </c>
      <c r="E19" s="41">
        <v>2</v>
      </c>
      <c r="G19" s="36" t="e" vm="425">
        <f>ImgDatabase!T17</f>
        <v>#VALUE!</v>
      </c>
      <c r="H19" s="41">
        <v>23</v>
      </c>
      <c r="Q19" s="36" t="e" vm="770">
        <f>ImgDatabase!AF17</f>
        <v>#VALUE!</v>
      </c>
      <c r="R19" s="41">
        <v>177</v>
      </c>
      <c r="T19" s="36" t="e" vm="283">
        <f>ImgDatabase!AI17</f>
        <v>#VALUE!</v>
      </c>
      <c r="U19" s="41">
        <v>45</v>
      </c>
      <c r="W19" s="36" t="e" vm="771">
        <f>ImgDatabase!AL17</f>
        <v>#VALUE!</v>
      </c>
      <c r="X19" s="41">
        <v>138</v>
      </c>
    </row>
    <row r="20" spans="4:24" ht="30" customHeight="1" x14ac:dyDescent="0.25">
      <c r="D20" s="36" t="e" vm="239">
        <f>ImgDatabase!P18</f>
        <v>#VALUE!</v>
      </c>
      <c r="E20" s="41">
        <v>41</v>
      </c>
      <c r="G20" s="36" t="e" vm="198">
        <f>ImgDatabase!T18</f>
        <v>#VALUE!</v>
      </c>
      <c r="H20" s="41">
        <v>13</v>
      </c>
      <c r="Q20" s="36" t="e" vm="338">
        <f>ImgDatabase!AF18</f>
        <v>#VALUE!</v>
      </c>
      <c r="R20" s="41">
        <v>11</v>
      </c>
      <c r="T20" s="36" t="e" vm="213">
        <f>ImgDatabase!AI18</f>
        <v>#VALUE!</v>
      </c>
      <c r="U20" s="41">
        <v>49</v>
      </c>
      <c r="W20" s="36" t="e" vm="772">
        <f>ImgDatabase!AL18</f>
        <v>#VALUE!</v>
      </c>
      <c r="X20" s="41">
        <v>112</v>
      </c>
    </row>
    <row r="21" spans="4:24" ht="30" customHeight="1" x14ac:dyDescent="0.25">
      <c r="D21" s="36" t="e" vm="370">
        <f>ImgDatabase!P19</f>
        <v>#VALUE!</v>
      </c>
      <c r="E21" s="41">
        <v>93</v>
      </c>
      <c r="G21" s="36" t="e" vm="240">
        <f>ImgDatabase!T19</f>
        <v>#VALUE!</v>
      </c>
      <c r="H21" s="41">
        <v>9</v>
      </c>
      <c r="Q21" s="36" t="e" vm="773">
        <f>ImgDatabase!AF19</f>
        <v>#VALUE!</v>
      </c>
      <c r="R21" s="41">
        <v>91</v>
      </c>
      <c r="T21" s="36" t="e" vm="592">
        <f>ImgDatabase!AI19</f>
        <v>#VALUE!</v>
      </c>
      <c r="U21" s="41">
        <v>60</v>
      </c>
      <c r="W21" s="36" t="e" vm="97">
        <f>ImgDatabase!AL19</f>
        <v>#VALUE!</v>
      </c>
      <c r="X21" s="41">
        <v>30</v>
      </c>
    </row>
    <row r="22" spans="4:24" ht="30" customHeight="1" x14ac:dyDescent="0.25">
      <c r="D22" s="36" t="e" vm="506">
        <f>ImgDatabase!P20</f>
        <v>#VALUE!</v>
      </c>
      <c r="E22" s="41">
        <v>42</v>
      </c>
      <c r="G22" s="36" t="e" vm="456">
        <f>ImgDatabase!T20</f>
        <v>#VALUE!</v>
      </c>
      <c r="H22" s="41">
        <v>12</v>
      </c>
      <c r="Q22" s="36" t="e" vm="774">
        <f>ImgDatabase!AF20</f>
        <v>#VALUE!</v>
      </c>
      <c r="R22" s="41">
        <v>205</v>
      </c>
      <c r="T22" s="36" t="e" vm="481">
        <f>ImgDatabase!AI20</f>
        <v>#VALUE!</v>
      </c>
      <c r="U22" s="41">
        <v>80</v>
      </c>
      <c r="W22" s="36" t="e" vm="775">
        <f>ImgDatabase!AL20</f>
        <v>#VALUE!</v>
      </c>
      <c r="X22" s="41">
        <v>38</v>
      </c>
    </row>
    <row r="23" spans="4:24" ht="30" customHeight="1" x14ac:dyDescent="0.25">
      <c r="D23" s="36" t="e" vm="250">
        <f>ImgDatabase!P21</f>
        <v>#VALUE!</v>
      </c>
      <c r="E23" s="41">
        <v>2</v>
      </c>
      <c r="G23" s="36" t="e" vm="390">
        <f>ImgDatabase!T21</f>
        <v>#VALUE!</v>
      </c>
      <c r="H23" s="41">
        <v>23</v>
      </c>
      <c r="Q23" s="36" t="e" vm="226">
        <f>ImgDatabase!AF21</f>
        <v>#VALUE!</v>
      </c>
      <c r="R23" s="41">
        <v>6</v>
      </c>
      <c r="T23" s="36" t="e" vm="185">
        <f>ImgDatabase!AI21</f>
        <v>#VALUE!</v>
      </c>
      <c r="U23" s="41">
        <v>17</v>
      </c>
      <c r="W23" s="36" t="e" vm="776">
        <f>ImgDatabase!AL21</f>
        <v>#VALUE!</v>
      </c>
      <c r="X23" s="41">
        <v>157</v>
      </c>
    </row>
    <row r="24" spans="4:24" ht="30" customHeight="1" x14ac:dyDescent="0.25">
      <c r="D24" s="36" t="e" vm="389">
        <f>ImgDatabase!P22</f>
        <v>#VALUE!</v>
      </c>
      <c r="E24" s="41">
        <v>48</v>
      </c>
      <c r="G24" s="36" t="e" vm="30">
        <f>ImgDatabase!T22</f>
        <v>#VALUE!</v>
      </c>
      <c r="H24" s="41">
        <v>7</v>
      </c>
      <c r="Q24" s="36" t="e" vm="777">
        <f>ImgDatabase!AF22</f>
        <v>#VALUE!</v>
      </c>
      <c r="R24" s="41">
        <v>27</v>
      </c>
      <c r="T24" s="36" t="e" vm="352">
        <f>ImgDatabase!AI22</f>
        <v>#VALUE!</v>
      </c>
      <c r="U24" s="41">
        <v>84</v>
      </c>
      <c r="W24" s="36" t="e" vm="778">
        <f>ImgDatabase!AL22</f>
        <v>#VALUE!</v>
      </c>
      <c r="X24" s="41">
        <v>152</v>
      </c>
    </row>
    <row r="25" spans="4:24" ht="30" customHeight="1" x14ac:dyDescent="0.25">
      <c r="D25" s="36" t="e" vm="522">
        <f>ImgDatabase!P23</f>
        <v>#VALUE!</v>
      </c>
      <c r="E25" s="41">
        <v>95</v>
      </c>
      <c r="G25" s="36" t="e" vm="443">
        <f>ImgDatabase!T23</f>
        <v>#VALUE!</v>
      </c>
      <c r="H25" s="41">
        <v>10</v>
      </c>
      <c r="Q25" s="36" t="e" vm="779">
        <f>ImgDatabase!AF23</f>
        <v>#VALUE!</v>
      </c>
      <c r="R25" s="41">
        <v>63</v>
      </c>
      <c r="T25" s="36" t="e" vm="426">
        <f>ImgDatabase!AI23</f>
        <v>#VALUE!</v>
      </c>
      <c r="U25" s="41">
        <v>167</v>
      </c>
      <c r="W25" s="36" t="e" vm="135">
        <f>ImgDatabase!AL23</f>
        <v>#VALUE!</v>
      </c>
      <c r="X25" s="41">
        <v>5</v>
      </c>
    </row>
    <row r="26" spans="4:24" ht="30" customHeight="1" x14ac:dyDescent="0.25">
      <c r="D26" s="36" t="e" vm="29">
        <f>ImgDatabase!P24</f>
        <v>#VALUE!</v>
      </c>
      <c r="E26" s="41">
        <v>45</v>
      </c>
      <c r="G26" s="36" t="e" vm="328">
        <f>ImgDatabase!T24</f>
        <v>#VALUE!</v>
      </c>
      <c r="H26" s="41">
        <v>2</v>
      </c>
      <c r="Q26" s="36" t="e" vm="183">
        <f>ImgDatabase!AF24</f>
        <v>#VALUE!</v>
      </c>
      <c r="R26" s="41">
        <v>6</v>
      </c>
      <c r="T26" s="36" t="e" vm="241">
        <f>ImgDatabase!AI24</f>
        <v>#VALUE!</v>
      </c>
      <c r="U26" s="41">
        <v>71</v>
      </c>
      <c r="W26" s="36" t="e" vm="780">
        <f>ImgDatabase!AL24</f>
        <v>#VALUE!</v>
      </c>
      <c r="X26" s="41">
        <v>47</v>
      </c>
    </row>
    <row r="27" spans="4:24" ht="30" customHeight="1" x14ac:dyDescent="0.25">
      <c r="D27" s="36" t="e" vm="225">
        <f>ImgDatabase!P25</f>
        <v>#VALUE!</v>
      </c>
      <c r="E27" s="41">
        <v>48</v>
      </c>
      <c r="G27" s="36" t="e" vm="433">
        <f>ImgDatabase!T25</f>
        <v>#VALUE!</v>
      </c>
      <c r="H27" s="41">
        <v>11</v>
      </c>
      <c r="Q27" s="36" t="e" vm="781">
        <f>ImgDatabase!AF25</f>
        <v>#VALUE!</v>
      </c>
      <c r="R27" s="41">
        <v>57</v>
      </c>
      <c r="T27" s="36" t="e" vm="152">
        <f>ImgDatabase!AI25</f>
        <v>#VALUE!</v>
      </c>
      <c r="U27" s="41">
        <v>278</v>
      </c>
      <c r="W27" s="36" t="e" vm="782">
        <f>ImgDatabase!AL25</f>
        <v>#VALUE!</v>
      </c>
      <c r="X27" s="41">
        <v>140</v>
      </c>
    </row>
    <row r="28" spans="4:24" ht="30" customHeight="1" x14ac:dyDescent="0.25">
      <c r="D28" s="36" t="e" vm="72">
        <f>ImgDatabase!P26</f>
        <v>#VALUE!</v>
      </c>
      <c r="E28" s="41">
        <v>48</v>
      </c>
      <c r="G28" s="36" t="e" vm="93">
        <f>ImgDatabase!T26</f>
        <v>#VALUE!</v>
      </c>
      <c r="H28" s="41">
        <v>3</v>
      </c>
      <c r="Q28" s="36" t="e" vm="783">
        <f>ImgDatabase!AF26</f>
        <v>#VALUE!</v>
      </c>
      <c r="R28" s="41">
        <v>49</v>
      </c>
      <c r="T28" s="36" t="e" vm="417">
        <f>ImgDatabase!AI26</f>
        <v>#VALUE!</v>
      </c>
      <c r="U28" s="41">
        <v>24</v>
      </c>
      <c r="W28" s="36" t="e" vm="784">
        <f>ImgDatabase!AL26</f>
        <v>#VALUE!</v>
      </c>
      <c r="X28" s="41">
        <v>169</v>
      </c>
    </row>
    <row r="29" spans="4:24" ht="30" customHeight="1" x14ac:dyDescent="0.25">
      <c r="D29" s="36" t="e" vm="514">
        <f>ImgDatabase!P27</f>
        <v>#VALUE!</v>
      </c>
      <c r="E29" s="41">
        <v>49</v>
      </c>
      <c r="G29" s="36" t="e" vm="73">
        <f>ImgDatabase!T27</f>
        <v>#VALUE!</v>
      </c>
      <c r="H29" s="41">
        <v>15</v>
      </c>
      <c r="Q29" s="36" t="e" vm="74">
        <f>ImgDatabase!AF27</f>
        <v>#VALUE!</v>
      </c>
      <c r="R29" s="41">
        <v>11</v>
      </c>
      <c r="T29" s="36" t="e" vm="227">
        <f>ImgDatabase!AI27</f>
        <v>#VALUE!</v>
      </c>
      <c r="U29" s="41">
        <v>178</v>
      </c>
      <c r="W29" s="36" t="e" vm="169">
        <f>ImgDatabase!AL27</f>
        <v>#VALUE!</v>
      </c>
      <c r="X29" s="41">
        <v>11</v>
      </c>
    </row>
    <row r="30" spans="4:24" ht="30" customHeight="1" x14ac:dyDescent="0.25">
      <c r="D30" s="36" t="e" vm="432">
        <f>ImgDatabase!P28</f>
        <v>#VALUE!</v>
      </c>
      <c r="E30" s="41">
        <v>46</v>
      </c>
      <c r="G30" s="36" t="e" vm="591">
        <f>ImgDatabase!T28</f>
        <v>#VALUE!</v>
      </c>
      <c r="H30" s="41">
        <v>14</v>
      </c>
      <c r="Q30" s="36" t="e" vm="785">
        <f>ImgDatabase!AF28</f>
        <v>#VALUE!</v>
      </c>
      <c r="R30" s="41">
        <v>82</v>
      </c>
      <c r="T30" s="36" t="e" vm="618">
        <f>ImgDatabase!AI28</f>
        <v>#VALUE!</v>
      </c>
      <c r="U30" s="41">
        <v>169</v>
      </c>
      <c r="W30" s="36" t="e" vm="786">
        <f>ImgDatabase!AL28</f>
        <v>#VALUE!</v>
      </c>
      <c r="X30" s="41">
        <v>68</v>
      </c>
    </row>
    <row r="31" spans="4:24" ht="30" customHeight="1" x14ac:dyDescent="0.25">
      <c r="D31" s="36" t="e" vm="560">
        <f>ImgDatabase!P29</f>
        <v>#VALUE!</v>
      </c>
      <c r="E31" s="41">
        <v>1</v>
      </c>
      <c r="G31" s="36" t="e" vm="114">
        <f>ImgDatabase!T29</f>
        <v>#VALUE!</v>
      </c>
      <c r="H31" s="41">
        <v>10</v>
      </c>
      <c r="Q31" s="36" t="e" vm="787">
        <f>ImgDatabase!AF29</f>
        <v>#VALUE!</v>
      </c>
      <c r="R31" s="41">
        <v>25</v>
      </c>
      <c r="T31" s="36" t="e" vm="371">
        <f>ImgDatabase!AI29</f>
        <v>#VALUE!</v>
      </c>
      <c r="U31" s="41">
        <v>17</v>
      </c>
      <c r="W31" s="36" t="e" vm="788">
        <f>ImgDatabase!AL29</f>
        <v>#VALUE!</v>
      </c>
      <c r="X31" s="41">
        <v>140</v>
      </c>
    </row>
    <row r="32" spans="4:24" ht="30" customHeight="1" x14ac:dyDescent="0.25">
      <c r="D32" s="36" t="e" vm="92">
        <f>ImgDatabase!P30</f>
        <v>#VALUE!</v>
      </c>
      <c r="E32" s="41">
        <v>0</v>
      </c>
      <c r="G32" s="36" t="e" vm="548">
        <f>ImgDatabase!T30</f>
        <v>#VALUE!</v>
      </c>
      <c r="H32" s="41">
        <v>1</v>
      </c>
      <c r="Q32" s="36" t="e" vm="391">
        <f>ImgDatabase!AF30</f>
        <v>#VALUE!</v>
      </c>
      <c r="R32" s="41">
        <v>7</v>
      </c>
      <c r="T32" s="36" t="e" vm="273">
        <f>ImgDatabase!AI30</f>
        <v>#VALUE!</v>
      </c>
      <c r="U32" s="41">
        <v>69</v>
      </c>
      <c r="W32" s="36" t="e" vm="789">
        <f>ImgDatabase!AL30</f>
        <v>#VALUE!</v>
      </c>
      <c r="X32" s="41">
        <v>121</v>
      </c>
    </row>
    <row r="33" spans="4:24" ht="30" customHeight="1" x14ac:dyDescent="0.25">
      <c r="D33" s="36" t="e" vm="113">
        <f>ImgDatabase!P31</f>
        <v>#VALUE!</v>
      </c>
      <c r="E33" s="41">
        <v>1</v>
      </c>
      <c r="G33" s="36" t="e" vm="790">
        <f>ImgDatabase!T31</f>
        <v>#VALUE!</v>
      </c>
      <c r="H33" s="41">
        <v>2</v>
      </c>
      <c r="Q33" s="36" t="e" vm="791">
        <f>ImgDatabase!AF31</f>
        <v>#VALUE!</v>
      </c>
      <c r="R33" s="41">
        <v>115</v>
      </c>
      <c r="T33" s="36" t="e" vm="251">
        <f>ImgDatabase!AI31</f>
        <v>#VALUE!</v>
      </c>
      <c r="U33" s="41">
        <v>6</v>
      </c>
      <c r="W33" s="36" t="e" vm="12">
        <f>ImgDatabase!AL31</f>
        <v>#VALUE!</v>
      </c>
      <c r="X33" s="41">
        <v>12</v>
      </c>
    </row>
    <row r="34" spans="4:24" ht="30" customHeight="1" x14ac:dyDescent="0.25">
      <c r="D34" s="36" t="e" vm="442">
        <f>ImgDatabase!P32</f>
        <v>#VALUE!</v>
      </c>
      <c r="E34" s="41">
        <v>20</v>
      </c>
      <c r="G34" s="36" t="e" vm="792">
        <f>ImgDatabase!T32</f>
        <v>#VALUE!</v>
      </c>
      <c r="H34" s="41">
        <v>1</v>
      </c>
      <c r="Q34" s="36" t="e" vm="793">
        <f>ImgDatabase!AF32</f>
        <v>#VALUE!</v>
      </c>
      <c r="R34" s="41">
        <v>115</v>
      </c>
      <c r="T34" s="36" t="e" vm="507">
        <f>ImgDatabase!AI32</f>
        <v>#VALUE!</v>
      </c>
      <c r="U34" s="41">
        <v>12</v>
      </c>
      <c r="W34" s="36" t="e" vm="794">
        <f>ImgDatabase!AL32</f>
        <v>#VALUE!</v>
      </c>
      <c r="X34" s="41">
        <v>81</v>
      </c>
    </row>
    <row r="35" spans="4:24" ht="30" customHeight="1" x14ac:dyDescent="0.25">
      <c r="D35" s="36" t="e" vm="547">
        <f>ImgDatabase!P33</f>
        <v>#VALUE!</v>
      </c>
      <c r="E35" s="41">
        <v>0</v>
      </c>
      <c r="Q35" s="36" t="e" vm="31">
        <f>ImgDatabase!AF33</f>
        <v>#VALUE!</v>
      </c>
      <c r="R35" s="41">
        <v>3</v>
      </c>
      <c r="T35" s="36" t="e" vm="76">
        <f>ImgDatabase!AI33</f>
        <v>#VALUE!</v>
      </c>
      <c r="U35" s="41">
        <v>26</v>
      </c>
      <c r="W35" s="36" t="e" vm="795">
        <f>ImgDatabase!AL33</f>
        <v>#VALUE!</v>
      </c>
      <c r="X35" s="41">
        <v>127</v>
      </c>
    </row>
    <row r="36" spans="4:24" ht="30" customHeight="1" x14ac:dyDescent="0.25">
      <c r="Q36" s="36" t="e" vm="796">
        <f>ImgDatabase!AF34</f>
        <v>#VALUE!</v>
      </c>
      <c r="R36" s="41">
        <v>31</v>
      </c>
      <c r="T36" s="36" t="e" vm="33">
        <f>ImgDatabase!AI34</f>
        <v>#VALUE!</v>
      </c>
      <c r="U36" s="41">
        <v>42</v>
      </c>
      <c r="W36" s="36" t="e" vm="797">
        <f>ImgDatabase!AL34</f>
        <v>#VALUE!</v>
      </c>
      <c r="X36" s="41">
        <v>144</v>
      </c>
    </row>
    <row r="37" spans="4:24" ht="30" customHeight="1" x14ac:dyDescent="0.25">
      <c r="Q37" s="36" t="e" vm="798">
        <f>ImgDatabase!AF35</f>
        <v>#VALUE!</v>
      </c>
      <c r="R37" s="41">
        <v>91</v>
      </c>
      <c r="T37" s="36" t="e" vm="523">
        <f>ImgDatabase!AI35</f>
        <v>#VALUE!</v>
      </c>
      <c r="U37" s="41">
        <v>24</v>
      </c>
    </row>
    <row r="38" spans="4:24" ht="30" customHeight="1" x14ac:dyDescent="0.25">
      <c r="Q38" s="36" t="e" vm="271">
        <f>ImgDatabase!AF36</f>
        <v>#VALUE!</v>
      </c>
      <c r="R38" s="41">
        <v>36</v>
      </c>
      <c r="T38" s="36" t="e" vm="444">
        <f>ImgDatabase!AI36</f>
        <v>#VALUE!</v>
      </c>
      <c r="U38" s="41">
        <v>15</v>
      </c>
    </row>
    <row r="39" spans="4:24" ht="30" customHeight="1" x14ac:dyDescent="0.25">
      <c r="Q39" s="36" t="e" vm="799">
        <f>ImgDatabase!AF37</f>
        <v>#VALUE!</v>
      </c>
      <c r="R39" s="41">
        <v>31</v>
      </c>
      <c r="T39" s="36" t="e" vm="605">
        <f>ImgDatabase!AI37</f>
        <v>#VALUE!</v>
      </c>
      <c r="U39" s="41">
        <v>60</v>
      </c>
    </row>
    <row r="40" spans="4:24" ht="30" customHeight="1" x14ac:dyDescent="0.25">
      <c r="Q40" s="36" t="e" vm="800">
        <f>ImgDatabase!AF38</f>
        <v>#VALUE!</v>
      </c>
      <c r="R40" s="41">
        <v>32</v>
      </c>
      <c r="T40" s="36" t="e" vm="561">
        <f>ImgDatabase!AI38</f>
        <v>#VALUE!</v>
      </c>
      <c r="U40" s="41">
        <v>6</v>
      </c>
    </row>
    <row r="41" spans="4:24" ht="30" customHeight="1" x14ac:dyDescent="0.25">
      <c r="Q41" s="36" t="e" vm="434">
        <f>ImgDatabase!AF39</f>
        <v>#VALUE!</v>
      </c>
      <c r="R41" s="41">
        <v>15</v>
      </c>
      <c r="T41" s="36" t="e" vm="515">
        <f>ImgDatabase!AI39</f>
        <v>#VALUE!</v>
      </c>
      <c r="U41" s="41">
        <v>112</v>
      </c>
    </row>
    <row r="42" spans="4:24" ht="30" customHeight="1" x14ac:dyDescent="0.25">
      <c r="Q42" s="36" t="e" vm="801">
        <f>ImgDatabase!AF40</f>
        <v>#VALUE!</v>
      </c>
      <c r="R42" s="41">
        <v>42</v>
      </c>
      <c r="T42" s="36" t="e" vm="262">
        <f>ImgDatabase!AI40</f>
        <v>#VALUE!</v>
      </c>
      <c r="U42" s="41">
        <v>167</v>
      </c>
    </row>
    <row r="43" spans="4:24" ht="30" customHeight="1" x14ac:dyDescent="0.25">
      <c r="Q43" s="36" t="e" vm="802">
        <f>ImgDatabase!AF41</f>
        <v>#VALUE!</v>
      </c>
      <c r="R43" s="41">
        <v>45</v>
      </c>
      <c r="T43" s="36" t="e" vm="436">
        <f>ImgDatabase!AI41</f>
        <v>#VALUE!</v>
      </c>
      <c r="U43" s="41">
        <v>6</v>
      </c>
    </row>
    <row r="44" spans="4:24" ht="30" customHeight="1" x14ac:dyDescent="0.25">
      <c r="Q44" s="36" t="e" vm="94">
        <f>ImgDatabase!AF42</f>
        <v>#VALUE!</v>
      </c>
      <c r="R44" s="41">
        <v>19</v>
      </c>
      <c r="T44" s="36" t="e" vm="96">
        <f>ImgDatabase!AI42</f>
        <v>#VALUE!</v>
      </c>
      <c r="U44" s="41">
        <v>35</v>
      </c>
    </row>
    <row r="45" spans="4:24" ht="30" customHeight="1" x14ac:dyDescent="0.25">
      <c r="Q45" s="36" t="e" vm="803">
        <f>ImgDatabase!AF43</f>
        <v>#VALUE!</v>
      </c>
      <c r="R45" s="41">
        <v>112</v>
      </c>
      <c r="T45" s="36" t="e" vm="116">
        <f>ImgDatabase!AI43</f>
        <v>#VALUE!</v>
      </c>
      <c r="U45" s="41">
        <v>33</v>
      </c>
    </row>
    <row r="46" spans="4:24" ht="30" customHeight="1" x14ac:dyDescent="0.25">
      <c r="Q46" s="36" t="e" vm="804">
        <f>ImgDatabase!AF44</f>
        <v>#VALUE!</v>
      </c>
      <c r="R46" s="41">
        <v>154</v>
      </c>
      <c r="T46" s="36" t="e" vm="588">
        <f>ImgDatabase!AI44</f>
        <v>#VALUE!</v>
      </c>
      <c r="U46" s="41">
        <v>60</v>
      </c>
    </row>
    <row r="47" spans="4:24" ht="30" customHeight="1" x14ac:dyDescent="0.25">
      <c r="Q47" s="36" t="e" vm="260">
        <f>ImgDatabase!AF45</f>
        <v>#VALUE!</v>
      </c>
      <c r="R47" s="41">
        <v>28</v>
      </c>
      <c r="T47" s="36" t="e" vm="527">
        <f>ImgDatabase!AI45</f>
        <v>#VALUE!</v>
      </c>
      <c r="U47" s="41">
        <v>66</v>
      </c>
    </row>
    <row r="48" spans="4:24" ht="30" customHeight="1" x14ac:dyDescent="0.25">
      <c r="Q48" s="36" t="e" vm="805">
        <f>ImgDatabase!AF46</f>
        <v>#VALUE!</v>
      </c>
      <c r="R48" s="41">
        <v>51</v>
      </c>
    </row>
    <row r="49" spans="17:18" ht="30" customHeight="1" x14ac:dyDescent="0.25">
      <c r="Q49" s="36" t="e" vm="806">
        <f>ImgDatabase!AF47</f>
        <v>#VALUE!</v>
      </c>
      <c r="R49" s="41">
        <v>121</v>
      </c>
    </row>
    <row r="50" spans="17:18" ht="30" customHeight="1" x14ac:dyDescent="0.25"/>
    <row r="51" spans="17:18" ht="30" customHeight="1" x14ac:dyDescent="0.25"/>
    <row r="52" spans="17:18" ht="30" customHeight="1" x14ac:dyDescent="0.25"/>
    <row r="53" spans="17:18" ht="30" customHeight="1" x14ac:dyDescent="0.25"/>
    <row r="54" spans="17:18" ht="30" customHeight="1" x14ac:dyDescent="0.25"/>
    <row r="55" spans="17:18" ht="30" customHeight="1" x14ac:dyDescent="0.25"/>
    <row r="56" spans="17:18" ht="30" customHeight="1" x14ac:dyDescent="0.25"/>
    <row r="57" spans="17:18" ht="30" customHeight="1" x14ac:dyDescent="0.25"/>
    <row r="58" spans="17:18" ht="30" customHeight="1" x14ac:dyDescent="0.25"/>
    <row r="59" spans="17:18" ht="30" customHeight="1" x14ac:dyDescent="0.25"/>
    <row r="60" spans="17:18" ht="30" customHeight="1" x14ac:dyDescent="0.25"/>
    <row r="61" spans="17:18" ht="30" customHeight="1" x14ac:dyDescent="0.25"/>
    <row r="62" spans="17:18" ht="30" customHeight="1" x14ac:dyDescent="0.25"/>
    <row r="63" spans="17:18" ht="30" customHeight="1" x14ac:dyDescent="0.25"/>
    <row r="64" spans="17:18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</sheetData>
  <mergeCells count="9">
    <mergeCell ref="A1:AA1"/>
    <mergeCell ref="W3:X3"/>
    <mergeCell ref="Z3:AA3"/>
    <mergeCell ref="D3:E3"/>
    <mergeCell ref="Q3:R3"/>
    <mergeCell ref="G3:H3"/>
    <mergeCell ref="J3:O3"/>
    <mergeCell ref="A3:B3"/>
    <mergeCell ref="T3:U3"/>
  </mergeCells>
  <phoneticPr fontId="3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BH111"/>
  <sheetViews>
    <sheetView workbookViewId="0">
      <selection activeCell="H1" sqref="H1:K1"/>
    </sheetView>
  </sheetViews>
  <sheetFormatPr defaultColWidth="9.140625" defaultRowHeight="15.75" x14ac:dyDescent="0.25"/>
  <cols>
    <col min="1" max="1" width="4.85546875" style="80" customWidth="1"/>
    <col min="2" max="2" width="7.140625" style="80" customWidth="1"/>
    <col min="3" max="3" width="20.85546875" style="80" customWidth="1"/>
    <col min="4" max="4" width="19.42578125" style="53" hidden="1" customWidth="1"/>
    <col min="5" max="5" width="9.85546875" style="53" customWidth="1"/>
    <col min="6" max="6" width="9.42578125" style="53" customWidth="1"/>
    <col min="7" max="7" width="11" style="53" customWidth="1"/>
    <col min="8" max="11" width="7.140625" style="53" customWidth="1"/>
    <col min="12" max="12" width="1.42578125" style="53" customWidth="1"/>
    <col min="13" max="16" width="7.140625" style="53" customWidth="1"/>
    <col min="17" max="17" width="1.42578125" style="53" customWidth="1"/>
    <col min="18" max="18" width="8.5703125" style="53" customWidth="1"/>
    <col min="19" max="19" width="1.42578125" style="53" customWidth="1"/>
    <col min="20" max="20" width="11.28515625" style="53" customWidth="1"/>
    <col min="21" max="21" width="8.7109375" style="53" customWidth="1"/>
    <col min="22" max="22" width="1.42578125" style="53" customWidth="1"/>
    <col min="23" max="23" width="10" style="53" customWidth="1"/>
    <col min="24" max="26" width="7.85546875" style="53" customWidth="1"/>
    <col min="27" max="27" width="1.42578125" style="53" customWidth="1"/>
    <col min="28" max="28" width="11.42578125" style="53" customWidth="1"/>
    <col min="29" max="29" width="8.7109375" style="53" customWidth="1"/>
    <col min="30" max="30" width="1.42578125" style="53" customWidth="1"/>
    <col min="31" max="31" width="11.140625" style="53" customWidth="1"/>
    <col min="32" max="32" width="8.7109375" style="53" customWidth="1"/>
    <col min="33" max="33" width="1.42578125" style="53" customWidth="1"/>
    <col min="34" max="34" width="8.85546875" style="53" customWidth="1"/>
    <col min="35" max="38" width="10.85546875" style="53" customWidth="1"/>
    <col min="39" max="39" width="1.42578125" style="53" customWidth="1"/>
    <col min="40" max="40" width="9.42578125" style="53" customWidth="1"/>
    <col min="41" max="46" width="7.140625" style="53" customWidth="1"/>
    <col min="47" max="49" width="8.28515625" style="80" customWidth="1"/>
    <col min="50" max="50" width="1.42578125" style="53" customWidth="1"/>
    <col min="51" max="55" width="16.42578125" style="53" customWidth="1"/>
    <col min="56" max="56" width="1.42578125" style="53" customWidth="1"/>
    <col min="57" max="57" width="11" style="53" bestFit="1" customWidth="1"/>
    <col min="58" max="59" width="11" style="53" customWidth="1"/>
    <col min="60" max="16384" width="9.140625" style="53"/>
  </cols>
  <sheetData>
    <row r="1" spans="1:60" s="122" customFormat="1" ht="33.75" customHeight="1" thickBot="1" x14ac:dyDescent="0.3">
      <c r="A1" s="206" t="s">
        <v>662</v>
      </c>
      <c r="B1" s="207"/>
      <c r="C1" s="207"/>
      <c r="D1" s="207"/>
      <c r="E1" s="207"/>
      <c r="F1" s="207"/>
      <c r="G1" s="208"/>
      <c r="H1" s="202" t="s">
        <v>663</v>
      </c>
      <c r="I1" s="202"/>
      <c r="J1" s="202"/>
      <c r="K1" s="203"/>
      <c r="M1" s="204" t="s">
        <v>664</v>
      </c>
      <c r="N1" s="202"/>
      <c r="O1" s="202"/>
      <c r="P1" s="203"/>
      <c r="R1" s="147" t="e" vm="718">
        <f>ImgDatabase!A3</f>
        <v>#VALUE!</v>
      </c>
      <c r="T1" s="204" t="s">
        <v>0</v>
      </c>
      <c r="U1" s="203"/>
      <c r="W1" s="204" t="s">
        <v>68</v>
      </c>
      <c r="X1" s="202"/>
      <c r="Y1" s="202"/>
      <c r="Z1" s="203"/>
      <c r="AB1" s="204" t="s">
        <v>39</v>
      </c>
      <c r="AC1" s="203"/>
      <c r="AE1" s="204" t="s">
        <v>665</v>
      </c>
      <c r="AF1" s="203"/>
      <c r="AH1" s="205" t="s">
        <v>666</v>
      </c>
      <c r="AI1" s="205"/>
      <c r="AJ1" s="205"/>
      <c r="AK1" s="205"/>
      <c r="AL1" s="205"/>
      <c r="AN1" s="204" t="s">
        <v>667</v>
      </c>
      <c r="AO1" s="202"/>
      <c r="AP1" s="202"/>
      <c r="AQ1" s="202"/>
      <c r="AR1" s="202"/>
      <c r="AS1" s="202"/>
      <c r="AT1" s="203"/>
      <c r="AU1" s="204" t="s">
        <v>668</v>
      </c>
      <c r="AV1" s="202"/>
      <c r="AW1" s="203"/>
      <c r="AY1" s="200" t="s">
        <v>669</v>
      </c>
      <c r="AZ1" s="201"/>
      <c r="BA1" s="201"/>
      <c r="BB1" s="148" t="e" vm="721">
        <f>ImgDatabase!$AQ$3</f>
        <v>#VALUE!</v>
      </c>
      <c r="BC1" s="149"/>
      <c r="BE1" s="200" t="s">
        <v>825</v>
      </c>
      <c r="BF1" s="201"/>
      <c r="BG1" s="202" t="e" vm="727">
        <f>ImgDatabase!$AQ$4</f>
        <v>#VALUE!</v>
      </c>
      <c r="BH1" s="203"/>
    </row>
    <row r="2" spans="1:60" s="134" customFormat="1" ht="45" customHeight="1" thickBot="1" x14ac:dyDescent="0.3">
      <c r="A2" s="123" t="s">
        <v>670</v>
      </c>
      <c r="B2" s="124" t="s">
        <v>74</v>
      </c>
      <c r="C2" s="124" t="s">
        <v>24</v>
      </c>
      <c r="D2" s="124" t="s">
        <v>671</v>
      </c>
      <c r="E2" s="124" t="s">
        <v>29</v>
      </c>
      <c r="F2" s="124" t="s">
        <v>75</v>
      </c>
      <c r="G2" s="125" t="s">
        <v>672</v>
      </c>
      <c r="H2" s="126" t="s">
        <v>673</v>
      </c>
      <c r="I2" s="127" t="s">
        <v>674</v>
      </c>
      <c r="J2" s="127" t="s">
        <v>675</v>
      </c>
      <c r="K2" s="128" t="s">
        <v>676</v>
      </c>
      <c r="L2" s="129"/>
      <c r="M2" s="126" t="s">
        <v>673</v>
      </c>
      <c r="N2" s="130" t="s">
        <v>674</v>
      </c>
      <c r="O2" s="130" t="s">
        <v>675</v>
      </c>
      <c r="P2" s="131" t="s">
        <v>676</v>
      </c>
      <c r="Q2" s="129"/>
      <c r="R2" s="124" t="s">
        <v>677</v>
      </c>
      <c r="S2" s="129"/>
      <c r="T2" s="132" t="s">
        <v>678</v>
      </c>
      <c r="U2" s="128" t="s">
        <v>679</v>
      </c>
      <c r="V2" s="129"/>
      <c r="W2" s="126" t="s">
        <v>680</v>
      </c>
      <c r="X2" s="127" t="s">
        <v>681</v>
      </c>
      <c r="Y2" s="127" t="s">
        <v>682</v>
      </c>
      <c r="Z2" s="128" t="s">
        <v>683</v>
      </c>
      <c r="AA2" s="129"/>
      <c r="AB2" s="132" t="s">
        <v>678</v>
      </c>
      <c r="AC2" s="128" t="s">
        <v>679</v>
      </c>
      <c r="AD2" s="129"/>
      <c r="AE2" s="126" t="s">
        <v>684</v>
      </c>
      <c r="AF2" s="128" t="s">
        <v>679</v>
      </c>
      <c r="AG2" s="129"/>
      <c r="AH2" s="126" t="s">
        <v>685</v>
      </c>
      <c r="AI2" s="127" t="s">
        <v>56</v>
      </c>
      <c r="AJ2" s="127" t="s">
        <v>55</v>
      </c>
      <c r="AK2" s="127" t="s">
        <v>54</v>
      </c>
      <c r="AL2" s="128" t="s">
        <v>53</v>
      </c>
      <c r="AM2" s="129"/>
      <c r="AN2" s="133" t="s">
        <v>686</v>
      </c>
      <c r="AO2" s="133" t="s">
        <v>812</v>
      </c>
      <c r="AP2" s="127" t="s">
        <v>813</v>
      </c>
      <c r="AQ2" s="128" t="s">
        <v>814</v>
      </c>
      <c r="AR2" s="133" t="s">
        <v>815</v>
      </c>
      <c r="AS2" s="127" t="s">
        <v>816</v>
      </c>
      <c r="AT2" s="128" t="s">
        <v>817</v>
      </c>
      <c r="AU2" s="133" t="s">
        <v>59</v>
      </c>
      <c r="AV2" s="127" t="s">
        <v>58</v>
      </c>
      <c r="AW2" s="128" t="s">
        <v>57</v>
      </c>
      <c r="AX2" s="129"/>
      <c r="AY2" s="133" t="s">
        <v>687</v>
      </c>
      <c r="AZ2" s="127" t="s">
        <v>688</v>
      </c>
      <c r="BA2" s="127" t="s">
        <v>689</v>
      </c>
      <c r="BB2" s="127" t="s">
        <v>690</v>
      </c>
      <c r="BC2" s="128" t="s">
        <v>691</v>
      </c>
      <c r="BD2" s="129"/>
      <c r="BE2" s="133" t="s">
        <v>674</v>
      </c>
      <c r="BF2" s="127" t="s">
        <v>675</v>
      </c>
      <c r="BG2" s="128" t="s">
        <v>676</v>
      </c>
      <c r="BH2" s="128" t="s">
        <v>706</v>
      </c>
    </row>
    <row r="3" spans="1:60" ht="30" customHeight="1" x14ac:dyDescent="0.25">
      <c r="A3" s="46">
        <f>SUBTOTAL(3,$D$3:Character[[#This Row],[NameHelper]])</f>
        <v>1</v>
      </c>
      <c r="B3" s="47" t="e" vm="807">
        <f>IFERROR(INDEX(ImgDatabase!$D:$D, MATCH(Character[[#This Row],[NameHelper]], ImgDatabase!$E:$E, 0)), "")</f>
        <v>#VALUE!</v>
      </c>
      <c r="C3" s="48" t="s">
        <v>81</v>
      </c>
      <c r="D3" s="48" t="s">
        <v>81</v>
      </c>
      <c r="E3" s="49" t="e" vm="6">
        <f>IFERROR(INDEX(ImgDatabase!$G:$G, MATCH(Character[[#This Row],[NameHelper]], ImgDatabase!$E:$E, 0)), "")</f>
        <v>#VALUE!</v>
      </c>
      <c r="F3" s="49" t="e" vm="5">
        <f>IFERROR(INDEX(CharacterDetailsImg[Weapon Type], MATCH(Character[[#This Row],[NameHelper]], CharacterDetailsImg[Name], 0)), "")</f>
        <v>#VALUE!</v>
      </c>
      <c r="G3" s="50">
        <f>IFERROR(INDEX(CharacterDetailsImg[Released Version], MATCH(Character[[#This Row],[NameHelper]], CharacterDetailsImg[Name], 0)), "")</f>
        <v>1.2</v>
      </c>
      <c r="H3" s="51">
        <v>90</v>
      </c>
      <c r="I3" s="41">
        <v>1</v>
      </c>
      <c r="J3" s="41">
        <v>9</v>
      </c>
      <c r="K3" s="52">
        <v>9</v>
      </c>
      <c r="M3" s="54">
        <v>90</v>
      </c>
      <c r="N3" s="54">
        <v>10</v>
      </c>
      <c r="O3" s="55">
        <v>10</v>
      </c>
      <c r="P3" s="56">
        <v>10</v>
      </c>
      <c r="R3" s="5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" s="58" t="e" vm="7">
        <f>IF(Character[[#This Row],[Name]]="Traveler","",IFERROR(INDEX(ImgDatabase!$I:$I,MATCH(Character[[#This Row],[NameHelper]],ImgDatabase!$E:$E,0)),""))</f>
        <v>#VALUE!</v>
      </c>
      <c r="U3" s="5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" s="60" t="e" vm="9">
        <f>IF(Character[[#This Row],[Name]]="Traveler","",IFERROR(INDEX(ImgDatabase!$K:$K, MATCH(Character[[#This Row],[NameHelper]], ImgDatabase!$E:$E, 0)), ""))</f>
        <v>#VALUE!</v>
      </c>
      <c r="X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3" s="62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3" s="63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3" s="64" t="e" vm="8">
        <f>IFERROR(INDEX(ImgDatabase!$J:$J, MATCH(Character[[#This Row],[NameHelper]], ImgDatabase!$E:$E, 0)), "")</f>
        <v>#VALUE!</v>
      </c>
      <c r="AC3" s="63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3" s="65" t="e" vm="11">
        <f>IFERROR(INDEX(ImgDatabase!$M:$M, MATCH(Character[[#This Row],[NameHelper]], ImgDatabase!$E:$E, 0)), "")</f>
        <v>#VALUE!</v>
      </c>
      <c r="AF3" s="5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" s="66" t="e" vm="12">
        <f>IFERROR(INDEX(ImgDatabase!$N:$N, MATCH(Character[[#This Row],[NameHelper]], ImgDatabase!$E:$E, 0)), "")</f>
        <v>#VALUE!</v>
      </c>
      <c r="AI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" s="67" t="e" vm="10">
        <f>IFERROR(INDEX(ImgDatabase!$L:$L, MATCH(Character[[#This Row],[NameHelper]], ImgDatabase!$E:$E, 0)), "")</f>
        <v>#VALUE!</v>
      </c>
      <c r="AO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3" s="73">
        <f t="shared" ref="AU3:AU34" si="0">SUM(AO3,AR3)</f>
        <v>55</v>
      </c>
      <c r="AV3" s="74">
        <f t="shared" ref="AV3:AV34" si="1">SUM(AP3,AS3)</f>
        <v>22</v>
      </c>
      <c r="AW3" s="75">
        <f t="shared" ref="AW3:AW34" si="2">SUM(AQ3,AT3)</f>
        <v>6</v>
      </c>
      <c r="AY3" s="13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" s="13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" s="13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3" s="13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3" s="137">
        <f>SUM(Table40[[#This Row],[Ascension
Cost]:[Talent Cost
(Burst)]])</f>
        <v>3052500</v>
      </c>
      <c r="BE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" s="78">
        <f>SUM(Table53[[#This Row],[NA]:[Burst]])</f>
        <v>3</v>
      </c>
    </row>
    <row r="4" spans="1:60" ht="30" customHeight="1" x14ac:dyDescent="0.25">
      <c r="A4" s="79">
        <f>SUBTOTAL(3,$D$3:Character[[#This Row],[NameHelper]])</f>
        <v>2</v>
      </c>
      <c r="B4" s="80" t="e" vm="808">
        <f>IFERROR(INDEX(ImgDatabase!$D:$D, MATCH(Character[[#This Row],[NameHelper]], ImgDatabase!$E:$E, 0)), "")</f>
        <v>#VALUE!</v>
      </c>
      <c r="C4" s="81" t="s">
        <v>95</v>
      </c>
      <c r="D4" s="81" t="s">
        <v>95</v>
      </c>
      <c r="E4" s="53" t="e" vm="28">
        <f>IFERROR(INDEX(ImgDatabase!$G:$G, MATCH(Character[[#This Row],[NameHelper]], ImgDatabase!$E:$E, 0)), "")</f>
        <v>#VALUE!</v>
      </c>
      <c r="F4" s="53" t="e" vm="5">
        <f>IFERROR(INDEX(CharacterDetailsImg[Weapon Type], MATCH(Character[[#This Row],[NameHelper]], CharacterDetailsImg[Name], 0)), "")</f>
        <v>#VALUE!</v>
      </c>
      <c r="G4" s="82">
        <f>IFERROR(INDEX(CharacterDetailsImg[Released Version], MATCH(Character[[#This Row],[NameHelper]], CharacterDetailsImg[Name], 0)), "")</f>
        <v>3.4</v>
      </c>
      <c r="H4" s="51">
        <v>1</v>
      </c>
      <c r="I4" s="41">
        <v>1</v>
      </c>
      <c r="J4" s="41">
        <v>1</v>
      </c>
      <c r="K4" s="52">
        <v>1</v>
      </c>
      <c r="M4" s="83">
        <v>90</v>
      </c>
      <c r="N4" s="83">
        <v>10</v>
      </c>
      <c r="O4" s="84">
        <v>10</v>
      </c>
      <c r="P4" s="85">
        <v>10</v>
      </c>
      <c r="R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419</v>
      </c>
      <c r="T4" s="86" t="e" vm="29">
        <f>IF(Character[[#This Row],[Name]]="Traveler","",IFERROR(INDEX(ImgDatabase!$I:$I,MATCH(Character[[#This Row],[NameHelper]],ImgDatabase!$E:$E,0)),""))</f>
        <v>#VALUE!</v>
      </c>
      <c r="U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" s="88" t="e" vm="31">
        <f>IF(Character[[#This Row],[Name]]="Traveler","",IFERROR(INDEX(ImgDatabase!$K:$K, MATCH(Character[[#This Row],[NameHelper]], ImgDatabase!$E:$E, 0)), ""))</f>
        <v>#VALUE!</v>
      </c>
      <c r="X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" s="88" t="e" vm="30">
        <f>IFERROR(INDEX(ImgDatabase!$J:$J, MATCH(Character[[#This Row],[NameHelper]], ImgDatabase!$E:$E, 0)), "")</f>
        <v>#VALUE!</v>
      </c>
      <c r="AC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" s="86" t="e" vm="33">
        <f>IFERROR(INDEX(ImgDatabase!$M:$M, MATCH(Character[[#This Row],[NameHelper]], ImgDatabase!$E:$E, 0)), "")</f>
        <v>#VALUE!</v>
      </c>
      <c r="AF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168</v>
      </c>
      <c r="AH4" s="86" t="e" vm="34">
        <f>IFERROR(INDEX(ImgDatabase!$N:$N, MATCH(Character[[#This Row],[NameHelper]], ImgDatabase!$E:$E, 0)), "")</f>
        <v>#VALUE!</v>
      </c>
      <c r="AI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1</v>
      </c>
      <c r="AN4" s="53" t="e" vm="32">
        <f>IFERROR(INDEX(ImgDatabase!$L:$L, MATCH(Character[[#This Row],[NameHelper]], ImgDatabase!$E:$E, 0)), "")</f>
        <v>#VALUE!</v>
      </c>
      <c r="AO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18</v>
      </c>
      <c r="AR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" s="92">
        <f t="shared" si="0"/>
        <v>129</v>
      </c>
      <c r="AV4" s="93">
        <f t="shared" si="1"/>
        <v>96</v>
      </c>
      <c r="AW4" s="94">
        <f t="shared" si="2"/>
        <v>36</v>
      </c>
      <c r="AY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2092530</v>
      </c>
      <c r="AZ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" s="140">
        <f>SUM(Table40[[#This Row],[Ascension
Cost]:[Talent Cost
(Burst)]])</f>
        <v>7050030</v>
      </c>
      <c r="BE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" s="78">
        <f>SUM(Table53[[#This Row],[NA]:[Burst]])</f>
        <v>3</v>
      </c>
    </row>
    <row r="5" spans="1:60" ht="30" customHeight="1" x14ac:dyDescent="0.25">
      <c r="A5" s="79">
        <f>SUBTOTAL(3,$D$3:Character[[#This Row],[NameHelper]])</f>
        <v>3</v>
      </c>
      <c r="B5" s="80" t="e" vm="809">
        <f>IFERROR(INDEX(ImgDatabase!$D:$D, MATCH(Character[[#This Row],[NameHelper]], ImgDatabase!$E:$E, 0)), "")</f>
        <v>#VALUE!</v>
      </c>
      <c r="C5" s="81" t="s">
        <v>351</v>
      </c>
      <c r="D5" s="81" t="s">
        <v>351</v>
      </c>
      <c r="E5" s="53" t="e" vm="165">
        <f>IFERROR(INDEX(ImgDatabase!$G:$G, MATCH(Character[[#This Row],[NameHelper]], ImgDatabase!$E:$E, 0)), "")</f>
        <v>#VALUE!</v>
      </c>
      <c r="F5" s="53" t="e" vm="348">
        <f>IFERROR(INDEX(CharacterDetailsImg[Weapon Type], MATCH(Character[[#This Row],[NameHelper]], CharacterDetailsImg[Name], 0)), "")</f>
        <v>#VALUE!</v>
      </c>
      <c r="G5" s="82">
        <f>IFERROR(INDEX(CharacterDetailsImg[Released Version], MATCH(Character[[#This Row],[NameHelper]], CharacterDetailsImg[Name], 0)), "")</f>
        <v>2.1</v>
      </c>
      <c r="H5" s="51">
        <v>21</v>
      </c>
      <c r="I5" s="41">
        <v>1</v>
      </c>
      <c r="J5" s="41">
        <v>1</v>
      </c>
      <c r="K5" s="52">
        <v>1</v>
      </c>
      <c r="M5" s="83">
        <v>90</v>
      </c>
      <c r="N5" s="83">
        <v>10</v>
      </c>
      <c r="O5" s="84">
        <v>10</v>
      </c>
      <c r="P5" s="85">
        <v>10</v>
      </c>
      <c r="R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5" s="86" t="e" vm="349">
        <f>IF(Character[[#This Row],[Name]]="Traveler","",IFERROR(INDEX(ImgDatabase!$I:$I,MATCH(Character[[#This Row],[NameHelper]],ImgDatabase!$E:$E,0)),""))</f>
        <v>#VALUE!</v>
      </c>
      <c r="U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5" s="88" t="e" vm="351">
        <f>IF(Character[[#This Row],[Name]]="Traveler","",IFERROR(INDEX(ImgDatabase!$K:$K, MATCH(Character[[#This Row],[NameHelper]], ImgDatabase!$E:$E, 0)), ""))</f>
        <v>#VALUE!</v>
      </c>
      <c r="X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5" s="95" t="e" vm="350">
        <f>IFERROR(INDEX(ImgDatabase!$J:$J, MATCH(Character[[#This Row],[NameHelper]], ImgDatabase!$E:$E, 0)), "")</f>
        <v>#VALUE!</v>
      </c>
      <c r="AC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5" s="66" t="e" vm="352">
        <f>IFERROR(INDEX(ImgDatabase!$M:$M, MATCH(Character[[#This Row],[NameHelper]], ImgDatabase!$E:$E, 0)), "")</f>
        <v>#VALUE!</v>
      </c>
      <c r="AF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5" s="66" t="e" vm="169">
        <f>IFERROR(INDEX(ImgDatabase!$N:$N, MATCH(Character[[#This Row],[NameHelper]], ImgDatabase!$E:$E, 0)), "")</f>
        <v>#VALUE!</v>
      </c>
      <c r="AI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" s="67" t="e" vm="75">
        <f>IFERROR(INDEX(ImgDatabase!$L:$L, MATCH(Character[[#This Row],[NameHelper]], ImgDatabase!$E:$E, 0)), "")</f>
        <v>#VALUE!</v>
      </c>
      <c r="AO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5" s="73">
        <f t="shared" si="0"/>
        <v>129</v>
      </c>
      <c r="AV5" s="74">
        <f t="shared" si="1"/>
        <v>96</v>
      </c>
      <c r="AW5" s="75">
        <f t="shared" si="2"/>
        <v>33</v>
      </c>
      <c r="AY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5" s="143">
        <f>SUM(Table40[[#This Row],[Ascension
Cost]:[Talent Cost
(Burst)]])</f>
        <v>7003020</v>
      </c>
      <c r="BE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5" s="78">
        <f>SUM(Table53[[#This Row],[NA]:[Burst]])</f>
        <v>3</v>
      </c>
    </row>
    <row r="6" spans="1:60" ht="30" customHeight="1" x14ac:dyDescent="0.25">
      <c r="A6" s="79">
        <f>SUBTOTAL(3,$D$3:Character[[#This Row],[NameHelper]])</f>
        <v>4</v>
      </c>
      <c r="B6" s="80" t="e" vm="810">
        <f>IFERROR(INDEX(ImgDatabase!$D:$D, MATCH(Character[[#This Row],[NameHelper]], ImgDatabase!$E:$E, 0)), "")</f>
        <v>#VALUE!</v>
      </c>
      <c r="C6" s="81" t="s">
        <v>360</v>
      </c>
      <c r="D6" s="81" t="s">
        <v>360</v>
      </c>
      <c r="E6" s="53" t="e" vm="50">
        <f>IFERROR(INDEX(ImgDatabase!$G:$G, MATCH(Character[[#This Row],[NameHelper]], ImgDatabase!$E:$E, 0)), "")</f>
        <v>#VALUE!</v>
      </c>
      <c r="F6" s="53" t="e" vm="348">
        <f>IFERROR(INDEX(CharacterDetailsImg[Weapon Type], MATCH(Character[[#This Row],[NameHelper]], CharacterDetailsImg[Name], 0)), "")</f>
        <v>#VALUE!</v>
      </c>
      <c r="G6" s="82">
        <f>IFERROR(INDEX(CharacterDetailsImg[Released Version], MATCH(Character[[#This Row],[NameHelper]], CharacterDetailsImg[Name], 0)), "")</f>
        <v>1</v>
      </c>
      <c r="H6" s="51">
        <v>60</v>
      </c>
      <c r="I6" s="41">
        <v>1</v>
      </c>
      <c r="J6" s="41">
        <v>1</v>
      </c>
      <c r="K6" s="52">
        <v>1</v>
      </c>
      <c r="M6" s="83">
        <v>90</v>
      </c>
      <c r="N6" s="83">
        <v>10</v>
      </c>
      <c r="O6" s="84">
        <v>10</v>
      </c>
      <c r="P6" s="85">
        <v>10</v>
      </c>
      <c r="R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312</v>
      </c>
      <c r="T6" s="86" t="e" vm="51">
        <f>IF(Character[[#This Row],[Name]]="Traveler","",IFERROR(INDEX(ImgDatabase!$I:$I,MATCH(Character[[#This Row],[NameHelper]],ImgDatabase!$E:$E,0)),""))</f>
        <v>#VALUE!</v>
      </c>
      <c r="U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6" s="88" t="e" vm="351">
        <f>IF(Character[[#This Row],[Name]]="Traveler","",IFERROR(INDEX(ImgDatabase!$K:$K, MATCH(Character[[#This Row],[NameHelper]], ImgDatabase!$E:$E, 0)), ""))</f>
        <v>#VALUE!</v>
      </c>
      <c r="X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" s="88" t="e" vm="292">
        <f>IFERROR(INDEX(ImgDatabase!$J:$J, MATCH(Character[[#This Row],[NameHelper]], ImgDatabase!$E:$E, 0)), "")</f>
        <v>#VALUE!</v>
      </c>
      <c r="AC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" s="86" t="e" vm="361">
        <f>IFERROR(INDEX(ImgDatabase!$M:$M, MATCH(Character[[#This Row],[NameHelper]], ImgDatabase!$E:$E, 0)), "")</f>
        <v>#VALUE!</v>
      </c>
      <c r="AF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H6" s="86" t="e" vm="56">
        <f>IFERROR(INDEX(ImgDatabase!$N:$N, MATCH(Character[[#This Row],[NameHelper]], ImgDatabase!$E:$E, 0)), "")</f>
        <v>#VALUE!</v>
      </c>
      <c r="AI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" s="53" t="e" vm="302">
        <f>IFERROR(INDEX(ImgDatabase!$L:$L, MATCH(Character[[#This Row],[NameHelper]], ImgDatabase!$E:$E, 0)), "")</f>
        <v>#VALUE!</v>
      </c>
      <c r="AO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AQ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" s="92">
        <f t="shared" si="0"/>
        <v>129</v>
      </c>
      <c r="AV6" s="93">
        <f t="shared" si="1"/>
        <v>84</v>
      </c>
      <c r="AW6" s="94">
        <f t="shared" si="2"/>
        <v>18</v>
      </c>
      <c r="AY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1546185</v>
      </c>
      <c r="AZ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" s="140">
        <f>SUM(Table40[[#This Row],[Ascension
Cost]:[Talent Cost
(Burst)]])</f>
        <v>6503685</v>
      </c>
      <c r="BE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" s="78">
        <f>SUM(Table53[[#This Row],[NA]:[Burst]])</f>
        <v>3</v>
      </c>
    </row>
    <row r="7" spans="1:60" ht="30" customHeight="1" x14ac:dyDescent="0.25">
      <c r="A7" s="79">
        <f>SUBTOTAL(3,$D$3:Character[[#This Row],[NameHelper]])</f>
        <v>5</v>
      </c>
      <c r="B7" s="80" t="e" vm="811">
        <f>IFERROR(INDEX(ImgDatabase!$D:$D, MATCH(Character[[#This Row],[NameHelper]], ImgDatabase!$E:$E, 0)), "")</f>
        <v>#VALUE!</v>
      </c>
      <c r="C7" s="81" t="s">
        <v>692</v>
      </c>
      <c r="D7" s="81" t="s">
        <v>459</v>
      </c>
      <c r="E7" s="53" t="e" vm="6">
        <f>IFERROR(INDEX(ImgDatabase!$G:$G, MATCH(Character[[#This Row],[NameHelper]], ImgDatabase!$E:$E, 0)), "")</f>
        <v>#VALUE!</v>
      </c>
      <c r="F7" s="53" t="e" vm="479">
        <f>IFERROR(INDEX(CharacterDetailsImg[Weapon Type], MATCH(Character[[#This Row],[NameHelper]], CharacterDetailsImg[Name], 0)), "")</f>
        <v>#VALUE!</v>
      </c>
      <c r="G7" s="82">
        <f>IFERROR(INDEX(CharacterDetailsImg[Released Version], MATCH(Character[[#This Row],[NameHelper]], CharacterDetailsImg[Name], 0)), "")</f>
        <v>2.2999999999999998</v>
      </c>
      <c r="H7" s="51">
        <v>0</v>
      </c>
      <c r="I7" s="41">
        <v>0</v>
      </c>
      <c r="J7" s="41">
        <v>0</v>
      </c>
      <c r="K7" s="52">
        <v>0</v>
      </c>
      <c r="M7" s="83">
        <v>90</v>
      </c>
      <c r="N7" s="83">
        <v>10</v>
      </c>
      <c r="O7" s="84">
        <v>10</v>
      </c>
      <c r="P7" s="85">
        <v>10</v>
      </c>
      <c r="R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" s="86" t="e" vm="480">
        <f>IF(Character[[#This Row],[Name]]="Traveler","",IFERROR(INDEX(ImgDatabase!$I:$I,MATCH(Character[[#This Row],[NameHelper]],ImgDatabase!$E:$E,0)),""))</f>
        <v>#VALUE!</v>
      </c>
      <c r="U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" s="88" t="e" vm="183">
        <f>IF(Character[[#This Row],[Name]]="Traveler","",IFERROR(INDEX(ImgDatabase!$K:$K, MATCH(Character[[#This Row],[NameHelper]], ImgDatabase!$E:$E, 0)), ""))</f>
        <v>#VALUE!</v>
      </c>
      <c r="X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7" s="95" t="e" vm="425">
        <f>IFERROR(INDEX(ImgDatabase!$J:$J, MATCH(Character[[#This Row],[NameHelper]], ImgDatabase!$E:$E, 0)), "")</f>
        <v>#VALUE!</v>
      </c>
      <c r="AC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7" s="66" t="e" vm="481">
        <f>IFERROR(INDEX(ImgDatabase!$M:$M, MATCH(Character[[#This Row],[NameHelper]], ImgDatabase!$E:$E, 0)), "")</f>
        <v>#VALUE!</v>
      </c>
      <c r="AF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" s="66" t="e" vm="12">
        <f>IFERROR(INDEX(ImgDatabase!$N:$N, MATCH(Character[[#This Row],[NameHelper]], ImgDatabase!$E:$E, 0)), "")</f>
        <v>#VALUE!</v>
      </c>
      <c r="AI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" s="67" t="e" vm="462">
        <f>IFERROR(INDEX(ImgDatabase!$L:$L, MATCH(Character[[#This Row],[NameHelper]], ImgDatabase!$E:$E, 0)), "")</f>
        <v>#VALUE!</v>
      </c>
      <c r="AO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7" s="73">
        <f t="shared" si="0"/>
        <v>0</v>
      </c>
      <c r="AV7" s="74">
        <f t="shared" si="1"/>
        <v>0</v>
      </c>
      <c r="AW7" s="75">
        <f t="shared" si="2"/>
        <v>0</v>
      </c>
      <c r="AY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7" s="143">
        <f>SUM(Table40[[#This Row],[Ascension
Cost]:[Talent Cost
(Burst)]])</f>
        <v>0</v>
      </c>
      <c r="BE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7" s="78">
        <f>SUM(Table53[[#This Row],[NA]:[Burst]])</f>
        <v>0</v>
      </c>
    </row>
    <row r="8" spans="1:60" ht="30" customHeight="1" x14ac:dyDescent="0.25">
      <c r="A8" s="79">
        <f>SUBTOTAL(3,$D$3:Character[[#This Row],[NameHelper]])</f>
        <v>6</v>
      </c>
      <c r="B8" s="80" t="e" vm="812">
        <f>IFERROR(INDEX(ImgDatabase!$D:$D, MATCH(Character[[#This Row],[NameHelper]], ImgDatabase!$E:$E, 0)), "")</f>
        <v>#VALUE!</v>
      </c>
      <c r="C8" s="81" t="s">
        <v>508</v>
      </c>
      <c r="D8" s="81" t="s">
        <v>508</v>
      </c>
      <c r="E8" s="53" t="e" vm="50">
        <f>IFERROR(INDEX(ImgDatabase!$G:$G, MATCH(Character[[#This Row],[NameHelper]], ImgDatabase!$E:$E, 0)), "")</f>
        <v>#VALUE!</v>
      </c>
      <c r="F8" s="53" t="e" vm="546">
        <f>IFERROR(INDEX(CharacterDetailsImg[Weapon Type], MATCH(Character[[#This Row],[NameHelper]], CharacterDetailsImg[Name], 0)), "")</f>
        <v>#VALUE!</v>
      </c>
      <c r="G8" s="82">
        <f>IFERROR(INDEX(CharacterDetailsImg[Released Version], MATCH(Character[[#This Row],[NameHelper]], CharacterDetailsImg[Name], 0)), "")</f>
        <v>4.5999999999999996</v>
      </c>
      <c r="H8" s="51">
        <v>90</v>
      </c>
      <c r="I8" s="41">
        <v>10</v>
      </c>
      <c r="J8" s="41">
        <v>10</v>
      </c>
      <c r="K8" s="52">
        <v>8</v>
      </c>
      <c r="M8" s="83">
        <v>90</v>
      </c>
      <c r="N8" s="83">
        <v>10</v>
      </c>
      <c r="O8" s="84">
        <v>10</v>
      </c>
      <c r="P8" s="85">
        <v>10</v>
      </c>
      <c r="R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" s="86" t="e" vm="547">
        <f>IF(Character[[#This Row],[Name]]="Traveler","",IFERROR(INDEX(ImgDatabase!$I:$I,MATCH(Character[[#This Row],[NameHelper]],ImgDatabase!$E:$E,0)),""))</f>
        <v>#VALUE!</v>
      </c>
      <c r="U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" s="88" t="e" vm="260">
        <f>IF(Character[[#This Row],[Name]]="Traveler","",IFERROR(INDEX(ImgDatabase!$K:$K, MATCH(Character[[#This Row],[NameHelper]], ImgDatabase!$E:$E, 0)), ""))</f>
        <v>#VALUE!</v>
      </c>
      <c r="X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28</v>
      </c>
      <c r="Y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8" s="88" t="e" vm="548">
        <f>IFERROR(INDEX(ImgDatabase!$J:$J, MATCH(Character[[#This Row],[NameHelper]], ImgDatabase!$E:$E, 0)), "")</f>
        <v>#VALUE!</v>
      </c>
      <c r="AC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4</v>
      </c>
      <c r="AE8" s="86" t="e" vm="436">
        <f>IFERROR(INDEX(ImgDatabase!$M:$M, MATCH(Character[[#This Row],[NameHelper]], ImgDatabase!$E:$E, 0)), "")</f>
        <v>#VALUE!</v>
      </c>
      <c r="AF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" s="86" t="e" vm="56">
        <f>IFERROR(INDEX(ImgDatabase!$N:$N, MATCH(Character[[#This Row],[NameHelper]], ImgDatabase!$E:$E, 0)), "")</f>
        <v>#VALUE!</v>
      </c>
      <c r="AI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" s="53" t="e" vm="435">
        <f>IFERROR(INDEX(ImgDatabase!$L:$L, MATCH(Character[[#This Row],[NameHelper]], ImgDatabase!$E:$E, 0)), "")</f>
        <v>#VALUE!</v>
      </c>
      <c r="AO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21</v>
      </c>
      <c r="AS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8" s="92">
        <f t="shared" si="0"/>
        <v>21</v>
      </c>
      <c r="AV8" s="93">
        <f t="shared" si="1"/>
        <v>0</v>
      </c>
      <c r="AW8" s="94">
        <f t="shared" si="2"/>
        <v>0</v>
      </c>
      <c r="AY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1150000</v>
      </c>
      <c r="BC8" s="140">
        <f>SUM(Table40[[#This Row],[Ascension
Cost]:[Talent Cost
(Burst)]])</f>
        <v>1150000</v>
      </c>
      <c r="BE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" s="78">
        <f>SUM(Table53[[#This Row],[NA]:[Burst]])</f>
        <v>1</v>
      </c>
    </row>
    <row r="9" spans="1:60" ht="30" customHeight="1" x14ac:dyDescent="0.25">
      <c r="A9" s="79">
        <f>SUBTOTAL(3,$D$3:Character[[#This Row],[NameHelper]])</f>
        <v>7</v>
      </c>
      <c r="B9" s="80" t="e" vm="813">
        <f>IFERROR(INDEX(ImgDatabase!$D:$D, MATCH(Character[[#This Row],[NameHelper]], ImgDatabase!$E:$E, 0)), "")</f>
        <v>#VALUE!</v>
      </c>
      <c r="C9" s="81" t="s">
        <v>511</v>
      </c>
      <c r="D9" s="81" t="s">
        <v>511</v>
      </c>
      <c r="E9" s="53" t="e" vm="28">
        <f>IFERROR(INDEX(ImgDatabase!$G:$G, MATCH(Character[[#This Row],[NameHelper]], ImgDatabase!$E:$E, 0)), "")</f>
        <v>#VALUE!</v>
      </c>
      <c r="F9" s="53" t="e" vm="552">
        <f>IFERROR(INDEX(CharacterDetailsImg[Weapon Type], MATCH(Character[[#This Row],[NameHelper]], CharacterDetailsImg[Name], 0)), "")</f>
        <v>#VALUE!</v>
      </c>
      <c r="G9" s="82">
        <f>IFERROR(INDEX(CharacterDetailsImg[Released Version], MATCH(Character[[#This Row],[NameHelper]], CharacterDetailsImg[Name], 0)), "")</f>
        <v>3.6</v>
      </c>
      <c r="H9" s="51">
        <v>90</v>
      </c>
      <c r="I9" s="41">
        <v>1</v>
      </c>
      <c r="J9" s="41">
        <v>9</v>
      </c>
      <c r="K9" s="52">
        <v>9</v>
      </c>
      <c r="M9" s="83">
        <v>90</v>
      </c>
      <c r="N9" s="83">
        <v>10</v>
      </c>
      <c r="O9" s="84">
        <v>10</v>
      </c>
      <c r="P9" s="85">
        <v>10</v>
      </c>
      <c r="R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9" s="86" t="e" vm="225">
        <f>IF(Character[[#This Row],[Name]]="Traveler","",IFERROR(INDEX(ImgDatabase!$I:$I,MATCH(Character[[#This Row],[NameHelper]],ImgDatabase!$E:$E,0)),""))</f>
        <v>#VALUE!</v>
      </c>
      <c r="U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9" s="88" t="e" vm="338">
        <f>IF(Character[[#This Row],[Name]]="Traveler","",IFERROR(INDEX(ImgDatabase!$K:$K, MATCH(Character[[#This Row],[NameHelper]], ImgDatabase!$E:$E, 0)), ""))</f>
        <v>#VALUE!</v>
      </c>
      <c r="X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9" s="95" t="e" vm="328">
        <f>IFERROR(INDEX(ImgDatabase!$J:$J, MATCH(Character[[#This Row],[NameHelper]], ImgDatabase!$E:$E, 0)), "")</f>
        <v>#VALUE!</v>
      </c>
      <c r="AC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9" s="66" t="e" vm="283">
        <f>IFERROR(INDEX(ImgDatabase!$M:$M, MATCH(Character[[#This Row],[NameHelper]], ImgDatabase!$E:$E, 0)), "")</f>
        <v>#VALUE!</v>
      </c>
      <c r="AF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9" s="66" t="e" vm="34">
        <f>IFERROR(INDEX(ImgDatabase!$N:$N, MATCH(Character[[#This Row],[NameHelper]], ImgDatabase!$E:$E, 0)), "")</f>
        <v>#VALUE!</v>
      </c>
      <c r="AI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9" s="67" t="e" vm="272">
        <f>IFERROR(INDEX(ImgDatabase!$L:$L, MATCH(Character[[#This Row],[NameHelper]], ImgDatabase!$E:$E, 0)), "")</f>
        <v>#VALUE!</v>
      </c>
      <c r="AO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9" s="73">
        <f t="shared" si="0"/>
        <v>55</v>
      </c>
      <c r="AV9" s="74">
        <f t="shared" si="1"/>
        <v>22</v>
      </c>
      <c r="AW9" s="75">
        <f t="shared" si="2"/>
        <v>6</v>
      </c>
      <c r="AY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9" s="143">
        <f>SUM(Table40[[#This Row],[Ascension
Cost]:[Talent Cost
(Burst)]])</f>
        <v>3052500</v>
      </c>
      <c r="BE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9" s="78">
        <f>SUM(Table53[[#This Row],[NA]:[Burst]])</f>
        <v>3</v>
      </c>
    </row>
    <row r="10" spans="1:60" ht="30" customHeight="1" x14ac:dyDescent="0.25">
      <c r="A10" s="79">
        <f>SUBTOTAL(3,$D$3:Character[[#This Row],[NameHelper]])</f>
        <v>8</v>
      </c>
      <c r="B10" s="80" t="e" vm="814">
        <f>IFERROR(INDEX(ImgDatabase!$D:$D, MATCH(Character[[#This Row],[NameHelper]], ImgDatabase!$E:$E, 0)), "")</f>
        <v>#VALUE!</v>
      </c>
      <c r="C10" s="81" t="s">
        <v>514</v>
      </c>
      <c r="D10" s="81" t="s">
        <v>514</v>
      </c>
      <c r="E10" s="53" t="e" vm="112">
        <f>IFERROR(INDEX(ImgDatabase!$G:$G, MATCH(Character[[#This Row],[NameHelper]], ImgDatabase!$E:$E, 0)), "")</f>
        <v>#VALUE!</v>
      </c>
      <c r="F10" s="53" t="e" vm="552">
        <f>IFERROR(INDEX(CharacterDetailsImg[Weapon Type], MATCH(Character[[#This Row],[NameHelper]], CharacterDetailsImg[Name], 0)), "")</f>
        <v>#VALUE!</v>
      </c>
      <c r="G10" s="82">
        <f>IFERROR(INDEX(CharacterDetailsImg[Released Version], MATCH(Character[[#This Row],[NameHelper]], CharacterDetailsImg[Name], 0)), "")</f>
        <v>1</v>
      </c>
      <c r="H10" s="51">
        <v>81</v>
      </c>
      <c r="I10" s="41">
        <v>1</v>
      </c>
      <c r="J10" s="41">
        <v>5</v>
      </c>
      <c r="K10" s="52">
        <v>5</v>
      </c>
      <c r="M10" s="83">
        <v>90</v>
      </c>
      <c r="N10" s="83">
        <v>10</v>
      </c>
      <c r="O10" s="84">
        <v>10</v>
      </c>
      <c r="P10" s="85">
        <v>10</v>
      </c>
      <c r="R1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10" s="86" t="e" vm="337">
        <f>IF(Character[[#This Row],[Name]]="Traveler","",IFERROR(INDEX(ImgDatabase!$I:$I,MATCH(Character[[#This Row],[NameHelper]],ImgDatabase!$E:$E,0)),""))</f>
        <v>#VALUE!</v>
      </c>
      <c r="U1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0" s="88" t="e" vm="351">
        <f>IF(Character[[#This Row],[Name]]="Traveler","",IFERROR(INDEX(ImgDatabase!$K:$K, MATCH(Character[[#This Row],[NameHelper]], ImgDatabase!$E:$E, 0)), ""))</f>
        <v>#VALUE!</v>
      </c>
      <c r="X1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1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39</v>
      </c>
      <c r="Z1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10" s="88" t="e" vm="211">
        <f>IFERROR(INDEX(ImgDatabase!$J:$J, MATCH(Character[[#This Row],[NameHelper]], ImgDatabase!$E:$E, 0)), "")</f>
        <v>#VALUE!</v>
      </c>
      <c r="AC1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10" s="86" t="e" vm="556">
        <f>IFERROR(INDEX(ImgDatabase!$M:$M, MATCH(Character[[#This Row],[NameHelper]], ImgDatabase!$E:$E, 0)), "")</f>
        <v>#VALUE!</v>
      </c>
      <c r="AF1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0" s="86" t="e" vm="117">
        <f>IFERROR(INDEX(ImgDatabase!$N:$N, MATCH(Character[[#This Row],[NameHelper]], ImgDatabase!$E:$E, 0)), "")</f>
        <v>#VALUE!</v>
      </c>
      <c r="AI1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0" s="53" t="e" vm="10">
        <f>IFERROR(INDEX(ImgDatabase!$L:$L, MATCH(Character[[#This Row],[NameHelper]], ImgDatabase!$E:$E, 0)), "")</f>
        <v>#VALUE!</v>
      </c>
      <c r="AO1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1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40</v>
      </c>
      <c r="AT1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10" s="92">
        <f t="shared" si="0"/>
        <v>93</v>
      </c>
      <c r="AV10" s="93">
        <f t="shared" si="1"/>
        <v>40</v>
      </c>
      <c r="AW10" s="94">
        <f t="shared" si="2"/>
        <v>6</v>
      </c>
      <c r="AY1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1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1567500</v>
      </c>
      <c r="BB1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1567500</v>
      </c>
      <c r="BC10" s="140">
        <f>SUM(Table40[[#This Row],[Ascension
Cost]:[Talent Cost
(Burst)]])</f>
        <v>5435490</v>
      </c>
      <c r="BE1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0" s="78">
        <f>SUM(Table53[[#This Row],[NA]:[Burst]])</f>
        <v>3</v>
      </c>
    </row>
    <row r="11" spans="1:60" ht="30" customHeight="1" x14ac:dyDescent="0.25">
      <c r="A11" s="79">
        <f>SUBTOTAL(3,$D$3:Character[[#This Row],[NameHelper]])</f>
        <v>9</v>
      </c>
      <c r="B11" s="80" t="e" vm="815">
        <f>IFERROR(INDEX(ImgDatabase!$D:$D, MATCH(Character[[#This Row],[NameHelper]], ImgDatabase!$E:$E, 0)), "")</f>
        <v>#VALUE!</v>
      </c>
      <c r="C11" s="81" t="s">
        <v>464</v>
      </c>
      <c r="D11" s="81" t="s">
        <v>464</v>
      </c>
      <c r="E11" s="53" t="e" vm="91">
        <f>IFERROR(INDEX(ImgDatabase!$G:$G, MATCH(Character[[#This Row],[NameHelper]], ImgDatabase!$E:$E, 0)), "")</f>
        <v>#VALUE!</v>
      </c>
      <c r="F11" s="53" t="e" vm="479">
        <f>IFERROR(INDEX(CharacterDetailsImg[Weapon Type], MATCH(Character[[#This Row],[NameHelper]], CharacterDetailsImg[Name], 0)), "")</f>
        <v>#VALUE!</v>
      </c>
      <c r="G11" s="82">
        <f>IFERROR(INDEX(CharacterDetailsImg[Released Version], MATCH(Character[[#This Row],[NameHelper]], CharacterDetailsImg[Name], 0)), "")</f>
        <v>1</v>
      </c>
      <c r="H11" s="51">
        <v>51</v>
      </c>
      <c r="I11" s="41">
        <v>1</v>
      </c>
      <c r="J11" s="41">
        <v>1</v>
      </c>
      <c r="K11" s="52">
        <v>1</v>
      </c>
      <c r="M11" s="83">
        <v>90</v>
      </c>
      <c r="N11" s="83">
        <v>10</v>
      </c>
      <c r="O11" s="84">
        <v>10</v>
      </c>
      <c r="P11" s="85">
        <v>10</v>
      </c>
      <c r="R1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351</v>
      </c>
      <c r="T11" s="86" t="e" vm="210">
        <f>IF(Character[[#This Row],[Name]]="Traveler","",IFERROR(INDEX(ImgDatabase!$I:$I,MATCH(Character[[#This Row],[NameHelper]],ImgDatabase!$E:$E,0)),""))</f>
        <v>#VALUE!</v>
      </c>
      <c r="U1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11" s="88" t="e" vm="338">
        <f>IF(Character[[#This Row],[Name]]="Traveler","",IFERROR(INDEX(ImgDatabase!$K:$K, MATCH(Character[[#This Row],[NameHelper]], ImgDatabase!$E:$E, 0)), ""))</f>
        <v>#VALUE!</v>
      </c>
      <c r="X1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1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1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11" s="95" t="e" vm="292">
        <f>IFERROR(INDEX(ImgDatabase!$J:$J, MATCH(Character[[#This Row],[NameHelper]], ImgDatabase!$E:$E, 0)), "")</f>
        <v>#VALUE!</v>
      </c>
      <c r="AC1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11" s="66" t="e" vm="487">
        <f>IFERROR(INDEX(ImgDatabase!$M:$M, MATCH(Character[[#This Row],[NameHelper]], ImgDatabase!$E:$E, 0)), "")</f>
        <v>#VALUE!</v>
      </c>
      <c r="AF1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H11" s="66" t="e" vm="97">
        <f>IFERROR(INDEX(ImgDatabase!$N:$N, MATCH(Character[[#This Row],[NameHelper]], ImgDatabase!$E:$E, 0)), "")</f>
        <v>#VALUE!</v>
      </c>
      <c r="AI1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1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1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1" s="67" t="e" vm="54">
        <f>IFERROR(INDEX(ImgDatabase!$L:$L, MATCH(Character[[#This Row],[NameHelper]], ImgDatabase!$E:$E, 0)), "")</f>
        <v>#VALUE!</v>
      </c>
      <c r="AO1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1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AQ1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1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1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11" s="73">
        <f t="shared" si="0"/>
        <v>129</v>
      </c>
      <c r="AV11" s="74">
        <f t="shared" si="1"/>
        <v>84</v>
      </c>
      <c r="AW11" s="75">
        <f t="shared" si="2"/>
        <v>18</v>
      </c>
      <c r="AY1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1702915</v>
      </c>
      <c r="AZ1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1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11" s="143">
        <f>SUM(Table40[[#This Row],[Ascension
Cost]:[Talent Cost
(Burst)]])</f>
        <v>6660415</v>
      </c>
      <c r="BE1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1" s="78">
        <f>SUM(Table53[[#This Row],[NA]:[Burst]])</f>
        <v>3</v>
      </c>
    </row>
    <row r="12" spans="1:60" ht="30" customHeight="1" x14ac:dyDescent="0.25">
      <c r="A12" s="79">
        <f>SUBTOTAL(3,$D$3:Character[[#This Row],[NameHelper]])</f>
        <v>10</v>
      </c>
      <c r="B12" s="80" t="e" vm="816">
        <f>IFERROR(INDEX(ImgDatabase!$D:$D, MATCH(Character[[#This Row],[NameHelper]], ImgDatabase!$E:$E, 0)), "")</f>
        <v>#VALUE!</v>
      </c>
      <c r="C12" s="81" t="str">
        <f>ImgDatabase!E5</f>
        <v>Bennett</v>
      </c>
      <c r="D12" s="81" t="s">
        <v>108</v>
      </c>
      <c r="E12" s="53" t="e" vm="50">
        <f>IFERROR(INDEX(ImgDatabase!$G:$G, MATCH(Character[[#This Row],[NameHelper]], ImgDatabase!$E:$E, 0)), "")</f>
        <v>#VALUE!</v>
      </c>
      <c r="F12" s="53" t="e" vm="5">
        <f>IFERROR(INDEX(CharacterDetailsImg[Weapon Type], MATCH(Character[[#This Row],[NameHelper]], CharacterDetailsImg[Name], 0)), "")</f>
        <v>#VALUE!</v>
      </c>
      <c r="G12" s="82">
        <f>IFERROR(INDEX(CharacterDetailsImg[Released Version], MATCH(Character[[#This Row],[NameHelper]], CharacterDetailsImg[Name], 0)), "")</f>
        <v>1</v>
      </c>
      <c r="H12" s="51">
        <v>90</v>
      </c>
      <c r="I12" s="41">
        <v>1</v>
      </c>
      <c r="J12" s="41">
        <v>7</v>
      </c>
      <c r="K12" s="52">
        <v>10</v>
      </c>
      <c r="M12" s="83">
        <v>90</v>
      </c>
      <c r="N12" s="83">
        <v>10</v>
      </c>
      <c r="O12" s="84">
        <v>10</v>
      </c>
      <c r="P12" s="85">
        <v>10</v>
      </c>
      <c r="R1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2" s="86" t="e" vm="51">
        <f>IF(Character[[#This Row],[Name]]="Traveler","",IFERROR(INDEX(ImgDatabase!$I:$I,MATCH(Character[[#This Row],[NameHelper]],ImgDatabase!$E:$E,0)),""))</f>
        <v>#VALUE!</v>
      </c>
      <c r="U1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2" s="88" t="e" vm="53">
        <f>IF(Character[[#This Row],[Name]]="Traveler","",IFERROR(INDEX(ImgDatabase!$K:$K, MATCH(Character[[#This Row],[NameHelper]], ImgDatabase!$E:$E, 0)), ""))</f>
        <v>#VALUE!</v>
      </c>
      <c r="X1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72</v>
      </c>
      <c r="Y1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1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12" s="88" t="e" vm="52">
        <f>IFERROR(INDEX(ImgDatabase!$J:$J, MATCH(Character[[#This Row],[NameHelper]], ImgDatabase!$E:$E, 0)), "")</f>
        <v>#VALUE!</v>
      </c>
      <c r="AC1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11</v>
      </c>
      <c r="AE12" s="86" t="e" vm="55">
        <f>IFERROR(INDEX(ImgDatabase!$M:$M, MATCH(Character[[#This Row],[NameHelper]], ImgDatabase!$E:$E, 0)), "")</f>
        <v>#VALUE!</v>
      </c>
      <c r="AF1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2" s="86" t="e" vm="56">
        <f>IFERROR(INDEX(ImgDatabase!$N:$N, MATCH(Character[[#This Row],[NameHelper]], ImgDatabase!$E:$E, 0)), "")</f>
        <v>#VALUE!</v>
      </c>
      <c r="AI1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2" s="53" t="e" vm="54">
        <f>IFERROR(INDEX(ImgDatabase!$L:$L, MATCH(Character[[#This Row],[NameHelper]], ImgDatabase!$E:$E, 0)), "")</f>
        <v>#VALUE!</v>
      </c>
      <c r="AO1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58</v>
      </c>
      <c r="AS1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1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12" s="92">
        <f t="shared" si="0"/>
        <v>58</v>
      </c>
      <c r="AV12" s="93">
        <f t="shared" si="1"/>
        <v>22</v>
      </c>
      <c r="AW12" s="94">
        <f t="shared" si="2"/>
        <v>6</v>
      </c>
      <c r="AY1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1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1410000</v>
      </c>
      <c r="BB1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12" s="140">
        <f>SUM(Table40[[#This Row],[Ascension
Cost]:[Talent Cost
(Burst)]])</f>
        <v>3062500</v>
      </c>
      <c r="BE1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12" s="78">
        <f>SUM(Table53[[#This Row],[NA]:[Burst]])</f>
        <v>2</v>
      </c>
    </row>
    <row r="13" spans="1:60" ht="30" customHeight="1" x14ac:dyDescent="0.25">
      <c r="A13" s="79">
        <f>SUBTOTAL(3,$D$3:Character[[#This Row],[NameHelper]])</f>
        <v>11</v>
      </c>
      <c r="B13" s="80" t="e" vm="817">
        <f>IFERROR(INDEX(ImgDatabase!$D:$D, MATCH(Character[[#This Row],[NameHelper]], ImgDatabase!$E:$E, 0)), "")</f>
        <v>#VALUE!</v>
      </c>
      <c r="C13" s="81" t="s">
        <v>547</v>
      </c>
      <c r="D13" s="81" t="s">
        <v>547</v>
      </c>
      <c r="E13" s="53" t="e" vm="112">
        <f>IFERROR(INDEX(ImgDatabase!$G:$G, MATCH(Character[[#This Row],[NameHelper]], ImgDatabase!$E:$E, 0)), "")</f>
        <v>#VALUE!</v>
      </c>
      <c r="F13" s="53" t="e" vm="546">
        <f>IFERROR(INDEX(CharacterDetailsImg[Weapon Type], MATCH(Character[[#This Row],[NameHelper]], CharacterDetailsImg[Name], 0)), "")</f>
        <v>#VALUE!</v>
      </c>
      <c r="G13" s="82">
        <f>IFERROR(INDEX(CharacterDetailsImg[Released Version], MATCH(Character[[#This Row],[NameHelper]], CharacterDetailsImg[Name], 0)), "")</f>
        <v>3.1</v>
      </c>
      <c r="H13" s="51">
        <v>21</v>
      </c>
      <c r="I13" s="41">
        <v>1</v>
      </c>
      <c r="J13" s="41">
        <v>1</v>
      </c>
      <c r="K13" s="52">
        <v>1</v>
      </c>
      <c r="M13" s="83">
        <v>90</v>
      </c>
      <c r="N13" s="83">
        <v>10</v>
      </c>
      <c r="O13" s="84">
        <v>10</v>
      </c>
      <c r="P13" s="85">
        <v>10</v>
      </c>
      <c r="R1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13" s="86" t="e" vm="389">
        <f>IF(Character[[#This Row],[Name]]="Traveler","",IFERROR(INDEX(ImgDatabase!$I:$I,MATCH(Character[[#This Row],[NameHelper]],ImgDatabase!$E:$E,0)),""))</f>
        <v>#VALUE!</v>
      </c>
      <c r="U1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3" s="88" t="e" vm="391">
        <f>IF(Character[[#This Row],[Name]]="Traveler","",IFERROR(INDEX(ImgDatabase!$K:$K, MATCH(Character[[#This Row],[NameHelper]], ImgDatabase!$E:$E, 0)), ""))</f>
        <v>#VALUE!</v>
      </c>
      <c r="X1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1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1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13" s="95" t="e" vm="240">
        <f>IFERROR(INDEX(ImgDatabase!$J:$J, MATCH(Character[[#This Row],[NameHelper]], ImgDatabase!$E:$E, 0)), "")</f>
        <v>#VALUE!</v>
      </c>
      <c r="AC1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13" s="66" t="e" vm="76">
        <f>IFERROR(INDEX(ImgDatabase!$M:$M, MATCH(Character[[#This Row],[NameHelper]], ImgDatabase!$E:$E, 0)), "")</f>
        <v>#VALUE!</v>
      </c>
      <c r="AF1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13" s="66" t="e" vm="117">
        <f>IFERROR(INDEX(ImgDatabase!$N:$N, MATCH(Character[[#This Row],[NameHelper]], ImgDatabase!$E:$E, 0)), "")</f>
        <v>#VALUE!</v>
      </c>
      <c r="AI1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1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1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1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3" s="67" t="e" vm="32">
        <f>IFERROR(INDEX(ImgDatabase!$L:$L, MATCH(Character[[#This Row],[NameHelper]], ImgDatabase!$E:$E, 0)), "")</f>
        <v>#VALUE!</v>
      </c>
      <c r="AO1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1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1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1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1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1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13" s="73">
        <f t="shared" si="0"/>
        <v>129</v>
      </c>
      <c r="AV13" s="74">
        <f t="shared" si="1"/>
        <v>96</v>
      </c>
      <c r="AW13" s="75">
        <f t="shared" si="2"/>
        <v>33</v>
      </c>
      <c r="AY1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1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1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13" s="143">
        <f>SUM(Table40[[#This Row],[Ascension
Cost]:[Talent Cost
(Burst)]])</f>
        <v>7003020</v>
      </c>
      <c r="BE1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3" s="78">
        <f>SUM(Table53[[#This Row],[NA]:[Burst]])</f>
        <v>3</v>
      </c>
    </row>
    <row r="14" spans="1:60" ht="30" customHeight="1" x14ac:dyDescent="0.25">
      <c r="A14" s="79">
        <f>SUBTOTAL(3,$D$3:Character[[#This Row],[NameHelper]])</f>
        <v>12</v>
      </c>
      <c r="B14" s="80" t="e" vm="818">
        <f>IFERROR(INDEX(ImgDatabase!$D:$D, MATCH(Character[[#This Row],[NameHelper]], ImgDatabase!$E:$E, 0)), "")</f>
        <v>#VALUE!</v>
      </c>
      <c r="C14" s="81" t="s">
        <v>517</v>
      </c>
      <c r="D14" s="81" t="s">
        <v>517</v>
      </c>
      <c r="E14" s="53" t="e" vm="165">
        <f>IFERROR(INDEX(ImgDatabase!$G:$G, MATCH(Character[[#This Row],[NameHelper]], ImgDatabase!$E:$E, 0)), "")</f>
        <v>#VALUE!</v>
      </c>
      <c r="F14" s="53" t="e" vm="552">
        <f>IFERROR(INDEX(CharacterDetailsImg[Weapon Type], MATCH(Character[[#This Row],[NameHelper]], CharacterDetailsImg[Name], 0)), "")</f>
        <v>#VALUE!</v>
      </c>
      <c r="G14" s="82">
        <f>IFERROR(INDEX(CharacterDetailsImg[Released Version], MATCH(Character[[#This Row],[NameHelper]], CharacterDetailsImg[Name], 0)), "")</f>
        <v>4.2</v>
      </c>
      <c r="H14" s="51">
        <v>81</v>
      </c>
      <c r="I14" s="41">
        <v>1</v>
      </c>
      <c r="J14" s="41">
        <v>6</v>
      </c>
      <c r="K14" s="52">
        <v>7</v>
      </c>
      <c r="M14" s="83">
        <v>90</v>
      </c>
      <c r="N14" s="83">
        <v>10</v>
      </c>
      <c r="O14" s="84">
        <v>10</v>
      </c>
      <c r="P14" s="85">
        <v>10</v>
      </c>
      <c r="R1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14" s="86" t="e" vm="560">
        <f>IF(Character[[#This Row],[Name]]="Traveler","",IFERROR(INDEX(ImgDatabase!$I:$I,MATCH(Character[[#This Row],[NameHelper]],ImgDatabase!$E:$E,0)),""))</f>
        <v>#VALUE!</v>
      </c>
      <c r="U1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4" s="88" t="e" vm="94">
        <f>IF(Character[[#This Row],[Name]]="Traveler","",IFERROR(INDEX(ImgDatabase!$K:$K, MATCH(Character[[#This Row],[NameHelper]], ImgDatabase!$E:$E, 0)), ""))</f>
        <v>#VALUE!</v>
      </c>
      <c r="X1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110</v>
      </c>
      <c r="Y1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1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14" s="88" t="e" vm="73">
        <f>IFERROR(INDEX(ImgDatabase!$J:$J, MATCH(Character[[#This Row],[NameHelper]], ImgDatabase!$E:$E, 0)), "")</f>
        <v>#VALUE!</v>
      </c>
      <c r="AC1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17</v>
      </c>
      <c r="AE14" s="86" t="e" vm="561">
        <f>IFERROR(INDEX(ImgDatabase!$M:$M, MATCH(Character[[#This Row],[NameHelper]], ImgDatabase!$E:$E, 0)), "")</f>
        <v>#VALUE!</v>
      </c>
      <c r="AF1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4" s="86" t="e" vm="169">
        <f>IFERROR(INDEX(ImgDatabase!$N:$N, MATCH(Character[[#This Row],[NameHelper]], ImgDatabase!$E:$E, 0)), "")</f>
        <v>#VALUE!</v>
      </c>
      <c r="AI1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4" s="53" t="e" vm="261">
        <f>IFERROR(INDEX(ImgDatabase!$L:$L, MATCH(Character[[#This Row],[NameHelper]], ImgDatabase!$E:$E, 0)), "")</f>
        <v>#VALUE!</v>
      </c>
      <c r="AO1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89</v>
      </c>
      <c r="AS1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1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14" s="92">
        <f t="shared" si="0"/>
        <v>89</v>
      </c>
      <c r="AV14" s="93">
        <f t="shared" si="1"/>
        <v>22</v>
      </c>
      <c r="AW14" s="94">
        <f t="shared" si="2"/>
        <v>6</v>
      </c>
      <c r="AY1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1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1530000</v>
      </c>
      <c r="BB1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1410000</v>
      </c>
      <c r="BC14" s="140">
        <f>SUM(Table40[[#This Row],[Ascension
Cost]:[Talent Cost
(Burst)]])</f>
        <v>5240490</v>
      </c>
      <c r="BE1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4" s="78">
        <f>SUM(Table53[[#This Row],[NA]:[Burst]])</f>
        <v>3</v>
      </c>
    </row>
    <row r="15" spans="1:60" ht="30" customHeight="1" x14ac:dyDescent="0.25">
      <c r="A15" s="79">
        <f>SUBTOTAL(3,$D$3:Character[[#This Row],[NameHelper]])</f>
        <v>13</v>
      </c>
      <c r="B15" s="80" t="e" vm="819">
        <f>IFERROR(INDEX(ImgDatabase!$D:$D, MATCH(Character[[#This Row],[NameHelper]], ImgDatabase!$E:$E, 0)), "")</f>
        <v>#VALUE!</v>
      </c>
      <c r="C15" s="81" t="s">
        <v>549</v>
      </c>
      <c r="D15" s="81" t="s">
        <v>549</v>
      </c>
      <c r="E15" s="53" t="e" vm="50">
        <f>IFERROR(INDEX(ImgDatabase!$G:$G, MATCH(Character[[#This Row],[NameHelper]], ImgDatabase!$E:$E, 0)), "")</f>
        <v>#VALUE!</v>
      </c>
      <c r="F15" s="53" t="e" vm="546">
        <f>IFERROR(INDEX(CharacterDetailsImg[Weapon Type], MATCH(Character[[#This Row],[NameHelper]], CharacterDetailsImg[Name], 0)), "")</f>
        <v>#VALUE!</v>
      </c>
      <c r="G15" s="82">
        <f>IFERROR(INDEX(CharacterDetailsImg[Released Version], MATCH(Character[[#This Row],[NameHelper]], CharacterDetailsImg[Name], 0)), "")</f>
        <v>4.3</v>
      </c>
      <c r="H15" s="51">
        <v>0</v>
      </c>
      <c r="I15" s="41">
        <v>0</v>
      </c>
      <c r="J15" s="41">
        <v>0</v>
      </c>
      <c r="K15" s="52">
        <v>0</v>
      </c>
      <c r="M15" s="83">
        <v>90</v>
      </c>
      <c r="N15" s="83">
        <v>10</v>
      </c>
      <c r="O15" s="84">
        <v>10</v>
      </c>
      <c r="P15" s="85">
        <v>10</v>
      </c>
      <c r="R1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5" s="86" t="e" vm="92">
        <f>IF(Character[[#This Row],[Name]]="Traveler","",IFERROR(INDEX(ImgDatabase!$I:$I,MATCH(Character[[#This Row],[NameHelper]],ImgDatabase!$E:$E,0)),""))</f>
        <v>#VALUE!</v>
      </c>
      <c r="U1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5" s="88" t="e" vm="260">
        <f>IF(Character[[#This Row],[Name]]="Traveler","",IFERROR(INDEX(ImgDatabase!$K:$K, MATCH(Character[[#This Row],[NameHelper]], ImgDatabase!$E:$E, 0)), ""))</f>
        <v>#VALUE!</v>
      </c>
      <c r="X1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1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1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15" s="95" t="e" vm="591">
        <f>IFERROR(INDEX(ImgDatabase!$J:$J, MATCH(Character[[#This Row],[NameHelper]], ImgDatabase!$E:$E, 0)), "")</f>
        <v>#VALUE!</v>
      </c>
      <c r="AC1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15" s="66" t="e" vm="262">
        <f>IFERROR(INDEX(ImgDatabase!$M:$M, MATCH(Character[[#This Row],[NameHelper]], ImgDatabase!$E:$E, 0)), "")</f>
        <v>#VALUE!</v>
      </c>
      <c r="AF1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5" s="66" t="e" vm="56">
        <f>IFERROR(INDEX(ImgDatabase!$N:$N, MATCH(Character[[#This Row],[NameHelper]], ImgDatabase!$E:$E, 0)), "")</f>
        <v>#VALUE!</v>
      </c>
      <c r="AI1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5" s="67" t="e" vm="261">
        <f>IFERROR(INDEX(ImgDatabase!$L:$L, MATCH(Character[[#This Row],[NameHelper]], ImgDatabase!$E:$E, 0)), "")</f>
        <v>#VALUE!</v>
      </c>
      <c r="AO1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1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1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15" s="73">
        <f t="shared" si="0"/>
        <v>0</v>
      </c>
      <c r="AV15" s="74">
        <f t="shared" si="1"/>
        <v>0</v>
      </c>
      <c r="AW15" s="75">
        <f t="shared" si="2"/>
        <v>0</v>
      </c>
      <c r="AY1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1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1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1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15" s="143">
        <f>SUM(Table40[[#This Row],[Ascension
Cost]:[Talent Cost
(Burst)]])</f>
        <v>0</v>
      </c>
      <c r="BE1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1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1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15" s="78">
        <f>SUM(Table53[[#This Row],[NA]:[Burst]])</f>
        <v>0</v>
      </c>
    </row>
    <row r="16" spans="1:60" ht="30" customHeight="1" x14ac:dyDescent="0.25">
      <c r="A16" s="79">
        <f>SUBTOTAL(3,$D$3:Character[[#This Row],[NameHelper]])</f>
        <v>14</v>
      </c>
      <c r="B16" s="80" t="e" vm="820">
        <f>IFERROR(INDEX(ImgDatabase!$D:$D, MATCH(Character[[#This Row],[NameHelper]], ImgDatabase!$E:$E, 0)), "")</f>
        <v>#VALUE!</v>
      </c>
      <c r="C16" s="81" t="s">
        <v>121</v>
      </c>
      <c r="D16" s="81" t="s">
        <v>121</v>
      </c>
      <c r="E16" s="53" t="e" vm="6">
        <f>IFERROR(INDEX(ImgDatabase!$G:$G, MATCH(Character[[#This Row],[NameHelper]], ImgDatabase!$E:$E, 0)), "")</f>
        <v>#VALUE!</v>
      </c>
      <c r="F16" s="53" t="e" vm="5">
        <f>IFERROR(INDEX(CharacterDetailsImg[Weapon Type], MATCH(Character[[#This Row],[NameHelper]], CharacterDetailsImg[Name], 0)), "")</f>
        <v>#VALUE!</v>
      </c>
      <c r="G16" s="82">
        <f>IFERROR(INDEX(CharacterDetailsImg[Released Version], MATCH(Character[[#This Row],[NameHelper]], CharacterDetailsImg[Name], 0)), "")</f>
        <v>4.5</v>
      </c>
      <c r="H16" s="51">
        <v>0</v>
      </c>
      <c r="I16" s="41">
        <v>0</v>
      </c>
      <c r="J16" s="41">
        <v>0</v>
      </c>
      <c r="K16" s="52">
        <v>0</v>
      </c>
      <c r="M16" s="83">
        <v>90</v>
      </c>
      <c r="N16" s="83">
        <v>10</v>
      </c>
      <c r="O16" s="84">
        <v>10</v>
      </c>
      <c r="P16" s="85">
        <v>10</v>
      </c>
      <c r="R1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6" s="86" t="e" vm="72">
        <f>IF(Character[[#This Row],[Name]]="Traveler","",IFERROR(INDEX(ImgDatabase!$I:$I,MATCH(Character[[#This Row],[NameHelper]],ImgDatabase!$E:$E,0)),""))</f>
        <v>#VALUE!</v>
      </c>
      <c r="U1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6" s="88" t="e" vm="74">
        <f>IF(Character[[#This Row],[Name]]="Traveler","",IFERROR(INDEX(ImgDatabase!$K:$K, MATCH(Character[[#This Row],[NameHelper]], ImgDatabase!$E:$E, 0)), ""))</f>
        <v>#VALUE!</v>
      </c>
      <c r="X1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1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1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16" s="88" t="e" vm="73">
        <f>IFERROR(INDEX(ImgDatabase!$J:$J, MATCH(Character[[#This Row],[NameHelper]], ImgDatabase!$E:$E, 0)), "")</f>
        <v>#VALUE!</v>
      </c>
      <c r="AC1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16" s="86" t="e" vm="76">
        <f>IFERROR(INDEX(ImgDatabase!$M:$M, MATCH(Character[[#This Row],[NameHelper]], ImgDatabase!$E:$E, 0)), "")</f>
        <v>#VALUE!</v>
      </c>
      <c r="AF1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6" s="86" t="e" vm="12">
        <f>IFERROR(INDEX(ImgDatabase!$N:$N, MATCH(Character[[#This Row],[NameHelper]], ImgDatabase!$E:$E, 0)), "")</f>
        <v>#VALUE!</v>
      </c>
      <c r="AI1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6" s="53" t="e" vm="75">
        <f>IFERROR(INDEX(ImgDatabase!$L:$L, MATCH(Character[[#This Row],[NameHelper]], ImgDatabase!$E:$E, 0)), "")</f>
        <v>#VALUE!</v>
      </c>
      <c r="AO1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1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1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16" s="92">
        <f t="shared" si="0"/>
        <v>0</v>
      </c>
      <c r="AV16" s="93">
        <f t="shared" si="1"/>
        <v>0</v>
      </c>
      <c r="AW16" s="94">
        <f t="shared" si="2"/>
        <v>0</v>
      </c>
      <c r="AY1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1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1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1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16" s="140">
        <f>SUM(Table40[[#This Row],[Ascension
Cost]:[Talent Cost
(Burst)]])</f>
        <v>0</v>
      </c>
      <c r="BE1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1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1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16" s="78">
        <f>SUM(Table53[[#This Row],[NA]:[Burst]])</f>
        <v>0</v>
      </c>
    </row>
    <row r="17" spans="1:60" ht="30" customHeight="1" x14ac:dyDescent="0.25">
      <c r="A17" s="79">
        <f>SUBTOTAL(3,$D$3:Character[[#This Row],[NameHelper]])</f>
        <v>15</v>
      </c>
      <c r="B17" s="80" t="e" vm="821">
        <f>IFERROR(INDEX(ImgDatabase!$D:$D, MATCH(Character[[#This Row],[NameHelper]], ImgDatabase!$E:$E, 0)), "")</f>
        <v>#VALUE!</v>
      </c>
      <c r="C17" s="81" t="s">
        <v>468</v>
      </c>
      <c r="D17" s="81" t="s">
        <v>468</v>
      </c>
      <c r="E17" s="53" t="e" vm="165">
        <f>IFERROR(INDEX(ImgDatabase!$G:$G, MATCH(Character[[#This Row],[NameHelper]], ImgDatabase!$E:$E, 0)), "")</f>
        <v>#VALUE!</v>
      </c>
      <c r="F17" s="53" t="e" vm="479">
        <f>IFERROR(INDEX(CharacterDetailsImg[Weapon Type], MATCH(Character[[#This Row],[NameHelper]], CharacterDetailsImg[Name], 0)), "")</f>
        <v>#VALUE!</v>
      </c>
      <c r="G17" s="82">
        <f>IFERROR(INDEX(CharacterDetailsImg[Released Version], MATCH(Character[[#This Row],[NameHelper]], CharacterDetailsImg[Name], 0)), "")</f>
        <v>1</v>
      </c>
      <c r="H17" s="51">
        <v>21</v>
      </c>
      <c r="I17" s="41">
        <v>1</v>
      </c>
      <c r="J17" s="41">
        <v>1</v>
      </c>
      <c r="K17" s="52">
        <v>1</v>
      </c>
      <c r="M17" s="83">
        <v>90</v>
      </c>
      <c r="N17" s="83">
        <v>10</v>
      </c>
      <c r="O17" s="84">
        <v>10</v>
      </c>
      <c r="P17" s="85">
        <v>10</v>
      </c>
      <c r="R1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17" s="86" t="e" vm="166">
        <f>IF(Character[[#This Row],[Name]]="Traveler","",IFERROR(INDEX(ImgDatabase!$I:$I,MATCH(Character[[#This Row],[NameHelper]],ImgDatabase!$E:$E,0)),""))</f>
        <v>#VALUE!</v>
      </c>
      <c r="U1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7" s="88" t="e" vm="151">
        <f>IF(Character[[#This Row],[Name]]="Traveler","",IFERROR(INDEX(ImgDatabase!$K:$K, MATCH(Character[[#This Row],[NameHelper]], ImgDatabase!$E:$E, 0)), ""))</f>
        <v>#VALUE!</v>
      </c>
      <c r="X1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1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1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17" s="95" t="e" vm="292">
        <f>IFERROR(INDEX(ImgDatabase!$J:$J, MATCH(Character[[#This Row],[NameHelper]], ImgDatabase!$E:$E, 0)), "")</f>
        <v>#VALUE!</v>
      </c>
      <c r="AC1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17" s="66" t="e" vm="213">
        <f>IFERROR(INDEX(ImgDatabase!$M:$M, MATCH(Character[[#This Row],[NameHelper]], ImgDatabase!$E:$E, 0)), "")</f>
        <v>#VALUE!</v>
      </c>
      <c r="AF1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17" s="66" t="e" vm="169">
        <f>IFERROR(INDEX(ImgDatabase!$N:$N, MATCH(Character[[#This Row],[NameHelper]], ImgDatabase!$E:$E, 0)), "")</f>
        <v>#VALUE!</v>
      </c>
      <c r="AI1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1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1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1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7" s="67" t="e" vm="133">
        <f>IFERROR(INDEX(ImgDatabase!$L:$L, MATCH(Character[[#This Row],[NameHelper]], ImgDatabase!$E:$E, 0)), "")</f>
        <v>#VALUE!</v>
      </c>
      <c r="AO1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1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1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1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1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1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17" s="73">
        <f t="shared" si="0"/>
        <v>129</v>
      </c>
      <c r="AV17" s="74">
        <f t="shared" si="1"/>
        <v>96</v>
      </c>
      <c r="AW17" s="75">
        <f t="shared" si="2"/>
        <v>33</v>
      </c>
      <c r="AY1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1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1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17" s="143">
        <f>SUM(Table40[[#This Row],[Ascension
Cost]:[Talent Cost
(Burst)]])</f>
        <v>7003020</v>
      </c>
      <c r="BE1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7" s="78">
        <f>SUM(Table53[[#This Row],[NA]:[Burst]])</f>
        <v>3</v>
      </c>
    </row>
    <row r="18" spans="1:60" ht="30" customHeight="1" x14ac:dyDescent="0.25">
      <c r="A18" s="79">
        <f>SUBTOTAL(3,$D$3:Character[[#This Row],[NameHelper]])</f>
        <v>16</v>
      </c>
      <c r="B18" s="80" t="e" vm="822">
        <f>IFERROR(INDEX(ImgDatabase!$D:$D, MATCH(Character[[#This Row],[NameHelper]], ImgDatabase!$E:$E, 0)), "")</f>
        <v>#VALUE!</v>
      </c>
      <c r="C18" s="81" t="s">
        <v>135</v>
      </c>
      <c r="D18" s="81" t="s">
        <v>135</v>
      </c>
      <c r="E18" s="53" t="e" vm="91">
        <f>IFERROR(INDEX(ImgDatabase!$G:$G, MATCH(Character[[#This Row],[NameHelper]], ImgDatabase!$E:$E, 0)), "")</f>
        <v>#VALUE!</v>
      </c>
      <c r="F18" s="53" t="e" vm="5">
        <f>IFERROR(INDEX(CharacterDetailsImg[Weapon Type], MATCH(Character[[#This Row],[NameHelper]], CharacterDetailsImg[Name], 0)), "")</f>
        <v>#VALUE!</v>
      </c>
      <c r="G18" s="82">
        <f>IFERROR(INDEX(CharacterDetailsImg[Released Version], MATCH(Character[[#This Row],[NameHelper]], CharacterDetailsImg[Name], 0)), "")</f>
        <v>4.8</v>
      </c>
      <c r="H18" s="51">
        <v>0</v>
      </c>
      <c r="I18" s="41">
        <v>0</v>
      </c>
      <c r="J18" s="41">
        <v>0</v>
      </c>
      <c r="K18" s="52">
        <v>0</v>
      </c>
      <c r="M18" s="83">
        <v>90</v>
      </c>
      <c r="N18" s="83">
        <v>10</v>
      </c>
      <c r="O18" s="84">
        <v>10</v>
      </c>
      <c r="P18" s="85">
        <v>10</v>
      </c>
      <c r="R1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8" s="86" t="e" vm="92">
        <f>IF(Character[[#This Row],[Name]]="Traveler","",IFERROR(INDEX(ImgDatabase!$I:$I,MATCH(Character[[#This Row],[NameHelper]],ImgDatabase!$E:$E,0)),""))</f>
        <v>#VALUE!</v>
      </c>
      <c r="U1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8" s="88" t="e" vm="94">
        <f>IF(Character[[#This Row],[Name]]="Traveler","",IFERROR(INDEX(ImgDatabase!$K:$K, MATCH(Character[[#This Row],[NameHelper]], ImgDatabase!$E:$E, 0)), ""))</f>
        <v>#VALUE!</v>
      </c>
      <c r="X1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1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1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18" s="88" t="e" vm="93">
        <f>IFERROR(INDEX(ImgDatabase!$J:$J, MATCH(Character[[#This Row],[NameHelper]], ImgDatabase!$E:$E, 0)), "")</f>
        <v>#VALUE!</v>
      </c>
      <c r="AC1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18" s="86" t="e" vm="96">
        <f>IFERROR(INDEX(ImgDatabase!$M:$M, MATCH(Character[[#This Row],[NameHelper]], ImgDatabase!$E:$E, 0)), "")</f>
        <v>#VALUE!</v>
      </c>
      <c r="AF1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18" s="86" t="e" vm="97">
        <f>IFERROR(INDEX(ImgDatabase!$N:$N, MATCH(Character[[#This Row],[NameHelper]], ImgDatabase!$E:$E, 0)), "")</f>
        <v>#VALUE!</v>
      </c>
      <c r="AI1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1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1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1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8" s="53" t="e" vm="95">
        <f>IFERROR(INDEX(ImgDatabase!$L:$L, MATCH(Character[[#This Row],[NameHelper]], ImgDatabase!$E:$E, 0)), "")</f>
        <v>#VALUE!</v>
      </c>
      <c r="AO1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1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1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1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1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1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18" s="92">
        <f t="shared" si="0"/>
        <v>0</v>
      </c>
      <c r="AV18" s="93">
        <f t="shared" si="1"/>
        <v>0</v>
      </c>
      <c r="AW18" s="94">
        <f t="shared" si="2"/>
        <v>0</v>
      </c>
      <c r="AY1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1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1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1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18" s="140">
        <f>SUM(Table40[[#This Row],[Ascension
Cost]:[Talent Cost
(Burst)]])</f>
        <v>0</v>
      </c>
      <c r="BE1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1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1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18" s="78">
        <f>SUM(Table53[[#This Row],[NA]:[Burst]])</f>
        <v>0</v>
      </c>
    </row>
    <row r="19" spans="1:60" ht="30" customHeight="1" x14ac:dyDescent="0.25">
      <c r="A19" s="79">
        <f>SUBTOTAL(3,$D$3:Character[[#This Row],[NameHelper]])</f>
        <v>17</v>
      </c>
      <c r="B19" s="80" t="e" vm="823">
        <f>IFERROR(INDEX(ImgDatabase!$D:$D, MATCH(Character[[#This Row],[NameHelper]], ImgDatabase!$E:$E, 0)), "")</f>
        <v>#VALUE!</v>
      </c>
      <c r="C19" s="81" t="s">
        <v>371</v>
      </c>
      <c r="D19" s="81" t="s">
        <v>371</v>
      </c>
      <c r="E19" s="53" t="e" vm="28">
        <f>IFERROR(INDEX(ImgDatabase!$G:$G, MATCH(Character[[#This Row],[NameHelper]], ImgDatabase!$E:$E, 0)), "")</f>
        <v>#VALUE!</v>
      </c>
      <c r="F19" s="53" t="e" vm="348">
        <f>IFERROR(INDEX(CharacterDetailsImg[Weapon Type], MATCH(Character[[#This Row],[NameHelper]], CharacterDetailsImg[Name], 0)), "")</f>
        <v>#VALUE!</v>
      </c>
      <c r="G19" s="82">
        <f>IFERROR(INDEX(CharacterDetailsImg[Released Version], MATCH(Character[[#This Row],[NameHelper]], CharacterDetailsImg[Name], 0)), "")</f>
        <v>3</v>
      </c>
      <c r="H19" s="51">
        <v>22</v>
      </c>
      <c r="I19" s="41">
        <v>1</v>
      </c>
      <c r="J19" s="41">
        <v>1</v>
      </c>
      <c r="K19" s="52">
        <v>1</v>
      </c>
      <c r="M19" s="83">
        <v>90</v>
      </c>
      <c r="N19" s="83">
        <v>10</v>
      </c>
      <c r="O19" s="84">
        <v>10</v>
      </c>
      <c r="P19" s="85">
        <v>10</v>
      </c>
      <c r="R1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19" s="86" t="e" vm="370">
        <f>IF(Character[[#This Row],[Name]]="Traveler","",IFERROR(INDEX(ImgDatabase!$I:$I,MATCH(Character[[#This Row],[NameHelper]],ImgDatabase!$E:$E,0)),""))</f>
        <v>#VALUE!</v>
      </c>
      <c r="U1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9" s="88" t="e" vm="271">
        <f>IF(Character[[#This Row],[Name]]="Traveler","",IFERROR(INDEX(ImgDatabase!$K:$K, MATCH(Character[[#This Row],[NameHelper]], ImgDatabase!$E:$E, 0)), ""))</f>
        <v>#VALUE!</v>
      </c>
      <c r="X1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1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1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19" s="95" t="e" vm="240">
        <f>IFERROR(INDEX(ImgDatabase!$J:$J, MATCH(Character[[#This Row],[NameHelper]], ImgDatabase!$E:$E, 0)), "")</f>
        <v>#VALUE!</v>
      </c>
      <c r="AC1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19" s="66" t="e" vm="371">
        <f>IFERROR(INDEX(ImgDatabase!$M:$M, MATCH(Character[[#This Row],[NameHelper]], ImgDatabase!$E:$E, 0)), "")</f>
        <v>#VALUE!</v>
      </c>
      <c r="AF1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19" s="66" t="e" vm="34">
        <f>IFERROR(INDEX(ImgDatabase!$N:$N, MATCH(Character[[#This Row],[NameHelper]], ImgDatabase!$E:$E, 0)), "")</f>
        <v>#VALUE!</v>
      </c>
      <c r="AI1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1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1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1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19" s="67" t="e" vm="302">
        <f>IFERROR(INDEX(ImgDatabase!$L:$L, MATCH(Character[[#This Row],[NameHelper]], ImgDatabase!$E:$E, 0)), "")</f>
        <v>#VALUE!</v>
      </c>
      <c r="AO1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1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1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1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1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1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19" s="73">
        <f t="shared" si="0"/>
        <v>129</v>
      </c>
      <c r="AV19" s="74">
        <f t="shared" si="1"/>
        <v>96</v>
      </c>
      <c r="AW19" s="75">
        <f t="shared" si="2"/>
        <v>33</v>
      </c>
      <c r="AY1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1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1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1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19" s="143">
        <f>SUM(Table40[[#This Row],[Ascension
Cost]:[Talent Cost
(Burst)]])</f>
        <v>6999660</v>
      </c>
      <c r="BE1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1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1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19" s="78">
        <f>SUM(Table53[[#This Row],[NA]:[Burst]])</f>
        <v>3</v>
      </c>
    </row>
    <row r="20" spans="1:60" ht="30" customHeight="1" x14ac:dyDescent="0.25">
      <c r="A20" s="79">
        <f>SUBTOTAL(3,$D$3:Character[[#This Row],[NameHelper]])</f>
        <v>18</v>
      </c>
      <c r="B20" s="80" t="e" vm="824">
        <f>IFERROR(INDEX(ImgDatabase!$D:$D, MATCH(Character[[#This Row],[NameHelper]], ImgDatabase!$E:$E, 0)), "")</f>
        <v>#VALUE!</v>
      </c>
      <c r="C20" s="81" t="s">
        <v>551</v>
      </c>
      <c r="D20" s="81" t="s">
        <v>551</v>
      </c>
      <c r="E20" s="53" t="e" vm="91">
        <f>IFERROR(INDEX(ImgDatabase!$G:$G, MATCH(Character[[#This Row],[NameHelper]], ImgDatabase!$E:$E, 0)), "")</f>
        <v>#VALUE!</v>
      </c>
      <c r="F20" s="53" t="e" vm="546">
        <f>IFERROR(INDEX(CharacterDetailsImg[Weapon Type], MATCH(Character[[#This Row],[NameHelper]], CharacterDetailsImg[Name], 0)), "")</f>
        <v>#VALUE!</v>
      </c>
      <c r="G20" s="82">
        <f>IFERROR(INDEX(CharacterDetailsImg[Released Version], MATCH(Character[[#This Row],[NameHelper]], CharacterDetailsImg[Name], 0)), "")</f>
        <v>3.1</v>
      </c>
      <c r="H20" s="51">
        <v>0</v>
      </c>
      <c r="I20" s="41">
        <v>0</v>
      </c>
      <c r="J20" s="41">
        <v>0</v>
      </c>
      <c r="K20" s="52">
        <v>0</v>
      </c>
      <c r="M20" s="83">
        <v>90</v>
      </c>
      <c r="N20" s="83">
        <v>10</v>
      </c>
      <c r="O20" s="84">
        <v>10</v>
      </c>
      <c r="P20" s="85">
        <v>10</v>
      </c>
      <c r="R2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0" s="86" t="e" vm="506">
        <f>IF(Character[[#This Row],[Name]]="Traveler","",IFERROR(INDEX(ImgDatabase!$I:$I,MATCH(Character[[#This Row],[NameHelper]],ImgDatabase!$E:$E,0)),""))</f>
        <v>#VALUE!</v>
      </c>
      <c r="U2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0" s="88" t="e" vm="391">
        <f>IF(Character[[#This Row],[Name]]="Traveler","",IFERROR(INDEX(ImgDatabase!$K:$K, MATCH(Character[[#This Row],[NameHelper]], ImgDatabase!$E:$E, 0)), ""))</f>
        <v>#VALUE!</v>
      </c>
      <c r="X2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2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2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20" s="88" t="e" vm="198">
        <f>IFERROR(INDEX(ImgDatabase!$J:$J, MATCH(Character[[#This Row],[NameHelper]], ImgDatabase!$E:$E, 0)), "")</f>
        <v>#VALUE!</v>
      </c>
      <c r="AC2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20" s="86" t="e" vm="605">
        <f>IFERROR(INDEX(ImgDatabase!$M:$M, MATCH(Character[[#This Row],[NameHelper]], ImgDatabase!$E:$E, 0)), "")</f>
        <v>#VALUE!</v>
      </c>
      <c r="AF2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0" s="86" t="e" vm="97">
        <f>IFERROR(INDEX(ImgDatabase!$N:$N, MATCH(Character[[#This Row],[NameHelper]], ImgDatabase!$E:$E, 0)), "")</f>
        <v>#VALUE!</v>
      </c>
      <c r="AI2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0" s="53" t="e" vm="10">
        <f>IFERROR(INDEX(ImgDatabase!$L:$L, MATCH(Character[[#This Row],[NameHelper]], ImgDatabase!$E:$E, 0)), "")</f>
        <v>#VALUE!</v>
      </c>
      <c r="AO2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2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2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20" s="92">
        <f t="shared" si="0"/>
        <v>0</v>
      </c>
      <c r="AV20" s="93">
        <f t="shared" si="1"/>
        <v>0</v>
      </c>
      <c r="AW20" s="94">
        <f t="shared" si="2"/>
        <v>0</v>
      </c>
      <c r="AY2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2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2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20" s="140">
        <f>SUM(Table40[[#This Row],[Ascension
Cost]:[Talent Cost
(Burst)]])</f>
        <v>0</v>
      </c>
      <c r="BE2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2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2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20" s="78">
        <f>SUM(Table53[[#This Row],[NA]:[Burst]])</f>
        <v>0</v>
      </c>
    </row>
    <row r="21" spans="1:60" ht="30" customHeight="1" x14ac:dyDescent="0.25">
      <c r="A21" s="79">
        <f>SUBTOTAL(3,$D$3:Character[[#This Row],[NameHelper]])</f>
        <v>19</v>
      </c>
      <c r="B21" s="80" t="e" vm="825">
        <f>IFERROR(INDEX(ImgDatabase!$D:$D, MATCH(Character[[#This Row],[NameHelper]], ImgDatabase!$E:$E, 0)), "")</f>
        <v>#VALUE!</v>
      </c>
      <c r="C21" s="81" t="s">
        <v>472</v>
      </c>
      <c r="D21" s="81" t="s">
        <v>472</v>
      </c>
      <c r="E21" s="53" t="e" vm="50">
        <f>IFERROR(INDEX(ImgDatabase!$G:$G, MATCH(Character[[#This Row],[NameHelper]], ImgDatabase!$E:$E, 0)), "")</f>
        <v>#VALUE!</v>
      </c>
      <c r="F21" s="53" t="e" vm="479">
        <f>IFERROR(INDEX(CharacterDetailsImg[Weapon Type], MATCH(Character[[#This Row],[NameHelper]], CharacterDetailsImg[Name], 0)), "")</f>
        <v>#VALUE!</v>
      </c>
      <c r="G21" s="82">
        <f>IFERROR(INDEX(CharacterDetailsImg[Released Version], MATCH(Character[[#This Row],[NameHelper]], CharacterDetailsImg[Name], 0)), "")</f>
        <v>3.5</v>
      </c>
      <c r="H21" s="51">
        <v>0</v>
      </c>
      <c r="I21" s="41">
        <v>0</v>
      </c>
      <c r="J21" s="41">
        <v>0</v>
      </c>
      <c r="K21" s="52">
        <v>0</v>
      </c>
      <c r="M21" s="83">
        <v>90</v>
      </c>
      <c r="N21" s="83">
        <v>10</v>
      </c>
      <c r="O21" s="84">
        <v>10</v>
      </c>
      <c r="P21" s="85">
        <v>10</v>
      </c>
      <c r="R2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1" s="86" t="e" vm="389">
        <f>IF(Character[[#This Row],[Name]]="Traveler","",IFERROR(INDEX(ImgDatabase!$I:$I,MATCH(Character[[#This Row],[NameHelper]],ImgDatabase!$E:$E,0)),""))</f>
        <v>#VALUE!</v>
      </c>
      <c r="U2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1" s="88" t="e" vm="271">
        <f>IF(Character[[#This Row],[Name]]="Traveler","",IFERROR(INDEX(ImgDatabase!$K:$K, MATCH(Character[[#This Row],[NameHelper]], ImgDatabase!$E:$E, 0)), ""))</f>
        <v>#VALUE!</v>
      </c>
      <c r="X2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2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2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21" s="95" t="e" vm="390">
        <f>IFERROR(INDEX(ImgDatabase!$J:$J, MATCH(Character[[#This Row],[NameHelper]], ImgDatabase!$E:$E, 0)), "")</f>
        <v>#VALUE!</v>
      </c>
      <c r="AC2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21" s="66" t="e" vm="33">
        <f>IFERROR(INDEX(ImgDatabase!$M:$M, MATCH(Character[[#This Row],[NameHelper]], ImgDatabase!$E:$E, 0)), "")</f>
        <v>#VALUE!</v>
      </c>
      <c r="AF2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1" s="66" t="e" vm="56">
        <f>IFERROR(INDEX(ImgDatabase!$N:$N, MATCH(Character[[#This Row],[NameHelper]], ImgDatabase!$E:$E, 0)), "")</f>
        <v>#VALUE!</v>
      </c>
      <c r="AI2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1" s="67" t="e" vm="32">
        <f>IFERROR(INDEX(ImgDatabase!$L:$L, MATCH(Character[[#This Row],[NameHelper]], ImgDatabase!$E:$E, 0)), "")</f>
        <v>#VALUE!</v>
      </c>
      <c r="AO2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2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2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21" s="73">
        <f t="shared" si="0"/>
        <v>0</v>
      </c>
      <c r="AV21" s="74">
        <f t="shared" si="1"/>
        <v>0</v>
      </c>
      <c r="AW21" s="75">
        <f t="shared" si="2"/>
        <v>0</v>
      </c>
      <c r="AY2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2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2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21" s="143">
        <f>SUM(Table40[[#This Row],[Ascension
Cost]:[Talent Cost
(Burst)]])</f>
        <v>0</v>
      </c>
      <c r="BE2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2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2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21" s="78">
        <f>SUM(Table53[[#This Row],[NA]:[Burst]])</f>
        <v>0</v>
      </c>
    </row>
    <row r="22" spans="1:60" ht="30" customHeight="1" x14ac:dyDescent="0.25">
      <c r="A22" s="79">
        <f>SUBTOTAL(3,$D$3:Character[[#This Row],[NameHelper]])</f>
        <v>20</v>
      </c>
      <c r="B22" s="80" t="e" vm="826">
        <f>IFERROR(INDEX(ImgDatabase!$D:$D, MATCH(Character[[#This Row],[NameHelper]], ImgDatabase!$E:$E, 0)), "")</f>
        <v>#VALUE!</v>
      </c>
      <c r="C22" s="81" t="s">
        <v>475</v>
      </c>
      <c r="D22" s="81" t="s">
        <v>475</v>
      </c>
      <c r="E22" s="53" t="e" vm="50">
        <f>IFERROR(INDEX(ImgDatabase!$G:$G, MATCH(Character[[#This Row],[NameHelper]], ImgDatabase!$E:$E, 0)), "")</f>
        <v>#VALUE!</v>
      </c>
      <c r="F22" s="53" t="e" vm="479">
        <f>IFERROR(INDEX(CharacterDetailsImg[Weapon Type], MATCH(Character[[#This Row],[NameHelper]], CharacterDetailsImg[Name], 0)), "")</f>
        <v>#VALUE!</v>
      </c>
      <c r="G22" s="82">
        <f>IFERROR(INDEX(CharacterDetailsImg[Released Version], MATCH(Character[[#This Row],[NameHelper]], CharacterDetailsImg[Name], 0)), "")</f>
        <v>1</v>
      </c>
      <c r="H22" s="51">
        <v>22</v>
      </c>
      <c r="I22" s="41">
        <v>1</v>
      </c>
      <c r="J22" s="41">
        <v>1</v>
      </c>
      <c r="K22" s="52">
        <v>1</v>
      </c>
      <c r="M22" s="83">
        <v>90</v>
      </c>
      <c r="N22" s="83">
        <v>10</v>
      </c>
      <c r="O22" s="84">
        <v>10</v>
      </c>
      <c r="P22" s="85">
        <v>10</v>
      </c>
      <c r="R2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22" s="86" t="e" vm="51">
        <f>IF(Character[[#This Row],[Name]]="Traveler","",IFERROR(INDEX(ImgDatabase!$I:$I,MATCH(Character[[#This Row],[NameHelper]],ImgDatabase!$E:$E,0)),""))</f>
        <v>#VALUE!</v>
      </c>
      <c r="U2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22" s="88" t="e" vm="53">
        <f>IF(Character[[#This Row],[Name]]="Traveler","",IFERROR(INDEX(ImgDatabase!$K:$K, MATCH(Character[[#This Row],[NameHelper]], ImgDatabase!$E:$E, 0)), ""))</f>
        <v>#VALUE!</v>
      </c>
      <c r="X2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2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2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22" s="88" t="e" vm="52">
        <f>IFERROR(INDEX(ImgDatabase!$J:$J, MATCH(Character[[#This Row],[NameHelper]], ImgDatabase!$E:$E, 0)), "")</f>
        <v>#VALUE!</v>
      </c>
      <c r="AC2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22" s="86" t="e" vm="361">
        <f>IFERROR(INDEX(ImgDatabase!$M:$M, MATCH(Character[[#This Row],[NameHelper]], ImgDatabase!$E:$E, 0)), "")</f>
        <v>#VALUE!</v>
      </c>
      <c r="AF2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22" s="86" t="e" vm="56">
        <f>IFERROR(INDEX(ImgDatabase!$N:$N, MATCH(Character[[#This Row],[NameHelper]], ImgDatabase!$E:$E, 0)), "")</f>
        <v>#VALUE!</v>
      </c>
      <c r="AI2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2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2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2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2" s="53" t="e" vm="435">
        <f>IFERROR(INDEX(ImgDatabase!$L:$L, MATCH(Character[[#This Row],[NameHelper]], ImgDatabase!$E:$E, 0)), "")</f>
        <v>#VALUE!</v>
      </c>
      <c r="AO2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2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2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2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2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2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22" s="92">
        <f t="shared" si="0"/>
        <v>129</v>
      </c>
      <c r="AV22" s="93">
        <f t="shared" si="1"/>
        <v>96</v>
      </c>
      <c r="AW22" s="94">
        <f t="shared" si="2"/>
        <v>33</v>
      </c>
      <c r="AY2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2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2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2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22" s="140">
        <f>SUM(Table40[[#This Row],[Ascension
Cost]:[Talent Cost
(Burst)]])</f>
        <v>6999660</v>
      </c>
      <c r="BE2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22" s="78">
        <f>SUM(Table53[[#This Row],[NA]:[Burst]])</f>
        <v>3</v>
      </c>
    </row>
    <row r="23" spans="1:60" ht="30" customHeight="1" x14ac:dyDescent="0.25">
      <c r="A23" s="79">
        <f>SUBTOTAL(3,$D$3:Character[[#This Row],[NameHelper]])</f>
        <v>21</v>
      </c>
      <c r="B23" s="80" t="e" vm="827">
        <f>IFERROR(INDEX(ImgDatabase!$D:$D, MATCH(Character[[#This Row],[NameHelper]], ImgDatabase!$E:$E, 0)), "")</f>
        <v>#VALUE!</v>
      </c>
      <c r="C23" s="81" t="s">
        <v>380</v>
      </c>
      <c r="D23" s="81" t="s">
        <v>380</v>
      </c>
      <c r="E23" s="53" t="e" vm="165">
        <f>IFERROR(INDEX(ImgDatabase!$G:$G, MATCH(Character[[#This Row],[NameHelper]], ImgDatabase!$E:$E, 0)), "")</f>
        <v>#VALUE!</v>
      </c>
      <c r="F23" s="53" t="e" vm="348">
        <f>IFERROR(INDEX(CharacterDetailsImg[Weapon Type], MATCH(Character[[#This Row],[NameHelper]], CharacterDetailsImg[Name], 0)), "")</f>
        <v>#VALUE!</v>
      </c>
      <c r="G23" s="82">
        <f>IFERROR(INDEX(CharacterDetailsImg[Released Version], MATCH(Character[[#This Row],[NameHelper]], CharacterDetailsImg[Name], 0)), "")</f>
        <v>1.1000000000000001</v>
      </c>
      <c r="H23" s="51">
        <v>50</v>
      </c>
      <c r="I23" s="41">
        <v>2</v>
      </c>
      <c r="J23" s="41">
        <v>2</v>
      </c>
      <c r="K23" s="52">
        <v>2</v>
      </c>
      <c r="M23" s="83">
        <v>90</v>
      </c>
      <c r="N23" s="83">
        <v>10</v>
      </c>
      <c r="O23" s="84">
        <v>10</v>
      </c>
      <c r="P23" s="85">
        <v>10</v>
      </c>
      <c r="R2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355</v>
      </c>
      <c r="T23" s="86" t="e" vm="166">
        <f>IF(Character[[#This Row],[Name]]="Traveler","",IFERROR(INDEX(ImgDatabase!$I:$I,MATCH(Character[[#This Row],[NameHelper]],ImgDatabase!$E:$E,0)),""))</f>
        <v>#VALUE!</v>
      </c>
      <c r="U2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44</v>
      </c>
      <c r="W23" s="88" t="e" vm="351">
        <f>IF(Character[[#This Row],[Name]]="Traveler","",IFERROR(INDEX(ImgDatabase!$K:$K, MATCH(Character[[#This Row],[NameHelper]], ImgDatabase!$E:$E, 0)), ""))</f>
        <v>#VALUE!</v>
      </c>
      <c r="X2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2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2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23" s="95" t="e" vm="380">
        <f>IFERROR(INDEX(ImgDatabase!$J:$J, MATCH(Character[[#This Row],[NameHelper]], ImgDatabase!$E:$E, 0)), "")</f>
        <v>#VALUE!</v>
      </c>
      <c r="AC2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23" s="66" t="e" vm="168">
        <f>IFERROR(INDEX(ImgDatabase!$M:$M, MATCH(Character[[#This Row],[NameHelper]], ImgDatabase!$E:$E, 0)), "")</f>
        <v>#VALUE!</v>
      </c>
      <c r="AF2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155</v>
      </c>
      <c r="AH23" s="66" t="e" vm="169">
        <f>IFERROR(INDEX(ImgDatabase!$N:$N, MATCH(Character[[#This Row],[NameHelper]], ImgDatabase!$E:$E, 0)), "")</f>
        <v>#VALUE!</v>
      </c>
      <c r="AI2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2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2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6</v>
      </c>
      <c r="AL2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3" s="67" t="e" vm="302">
        <f>IFERROR(INDEX(ImgDatabase!$L:$L, MATCH(Character[[#This Row],[NameHelper]], ImgDatabase!$E:$E, 0)), "")</f>
        <v>#VALUE!</v>
      </c>
      <c r="AO2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2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2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2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2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23" s="73">
        <f t="shared" si="0"/>
        <v>129</v>
      </c>
      <c r="AV23" s="74">
        <f t="shared" si="1"/>
        <v>96</v>
      </c>
      <c r="AW23" s="75">
        <f t="shared" si="2"/>
        <v>0</v>
      </c>
      <c r="AY2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1777010</v>
      </c>
      <c r="AZ2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1640000</v>
      </c>
      <c r="BA2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1640000</v>
      </c>
      <c r="BB2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1640000</v>
      </c>
      <c r="BC23" s="143">
        <f>SUM(Table40[[#This Row],[Ascension
Cost]:[Talent Cost
(Burst)]])</f>
        <v>6697010</v>
      </c>
      <c r="BE2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23" s="78">
        <f>SUM(Table53[[#This Row],[NA]:[Burst]])</f>
        <v>3</v>
      </c>
    </row>
    <row r="24" spans="1:60" ht="30" customHeight="1" x14ac:dyDescent="0.25">
      <c r="A24" s="79">
        <f>SUBTOTAL(3,$D$3:Character[[#This Row],[NameHelper]])</f>
        <v>22</v>
      </c>
      <c r="B24" s="80" t="e" vm="828">
        <f>IFERROR(INDEX(ImgDatabase!$D:$D, MATCH(Character[[#This Row],[NameHelper]], ImgDatabase!$E:$E, 0)), "")</f>
        <v>#VALUE!</v>
      </c>
      <c r="C24" s="81" t="s">
        <v>478</v>
      </c>
      <c r="D24" s="81" t="s">
        <v>478</v>
      </c>
      <c r="E24" s="53" t="e" vm="91">
        <f>IFERROR(INDEX(ImgDatabase!$G:$G, MATCH(Character[[#This Row],[NameHelper]], ImgDatabase!$E:$E, 0)), "")</f>
        <v>#VALUE!</v>
      </c>
      <c r="F24" s="53" t="e" vm="479">
        <f>IFERROR(INDEX(CharacterDetailsImg[Weapon Type], MATCH(Character[[#This Row],[NameHelper]], CharacterDetailsImg[Name], 0)), "")</f>
        <v>#VALUE!</v>
      </c>
      <c r="G24" s="82">
        <f>IFERROR(INDEX(CharacterDetailsImg[Released Version], MATCH(Character[[#This Row],[NameHelper]], CharacterDetailsImg[Name], 0)), "")</f>
        <v>3</v>
      </c>
      <c r="H24" s="51">
        <v>51</v>
      </c>
      <c r="I24" s="41">
        <v>1</v>
      </c>
      <c r="J24" s="41">
        <v>1</v>
      </c>
      <c r="K24" s="52">
        <v>1</v>
      </c>
      <c r="M24" s="83">
        <v>90</v>
      </c>
      <c r="N24" s="83">
        <v>10</v>
      </c>
      <c r="O24" s="84">
        <v>10</v>
      </c>
      <c r="P24" s="85">
        <v>10</v>
      </c>
      <c r="R2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351</v>
      </c>
      <c r="T24" s="86" t="e" vm="506">
        <f>IF(Character[[#This Row],[Name]]="Traveler","",IFERROR(INDEX(ImgDatabase!$I:$I,MATCH(Character[[#This Row],[NameHelper]],ImgDatabase!$E:$E,0)),""))</f>
        <v>#VALUE!</v>
      </c>
      <c r="U2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24" s="88" t="e" vm="31">
        <f>IF(Character[[#This Row],[Name]]="Traveler","",IFERROR(INDEX(ImgDatabase!$K:$K, MATCH(Character[[#This Row],[NameHelper]], ImgDatabase!$E:$E, 0)), ""))</f>
        <v>#VALUE!</v>
      </c>
      <c r="X2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2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2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24" s="88" t="e" vm="182">
        <f>IFERROR(INDEX(ImgDatabase!$J:$J, MATCH(Character[[#This Row],[NameHelper]], ImgDatabase!$E:$E, 0)), "")</f>
        <v>#VALUE!</v>
      </c>
      <c r="AC2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24" s="86" t="e" vm="507">
        <f>IFERROR(INDEX(ImgDatabase!$M:$M, MATCH(Character[[#This Row],[NameHelper]], ImgDatabase!$E:$E, 0)), "")</f>
        <v>#VALUE!</v>
      </c>
      <c r="AF2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H24" s="86" t="e" vm="97">
        <f>IFERROR(INDEX(ImgDatabase!$N:$N, MATCH(Character[[#This Row],[NameHelper]], ImgDatabase!$E:$E, 0)), "")</f>
        <v>#VALUE!</v>
      </c>
      <c r="AI2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2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2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4" s="53" t="e" vm="32">
        <f>IFERROR(INDEX(ImgDatabase!$L:$L, MATCH(Character[[#This Row],[NameHelper]], ImgDatabase!$E:$E, 0)), "")</f>
        <v>#VALUE!</v>
      </c>
      <c r="AO2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2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AQ2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2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2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24" s="92">
        <f t="shared" si="0"/>
        <v>129</v>
      </c>
      <c r="AV24" s="93">
        <f t="shared" si="1"/>
        <v>84</v>
      </c>
      <c r="AW24" s="94">
        <f t="shared" si="2"/>
        <v>18</v>
      </c>
      <c r="AY2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1702915</v>
      </c>
      <c r="AZ2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2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2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24" s="140">
        <f>SUM(Table40[[#This Row],[Ascension
Cost]:[Talent Cost
(Burst)]])</f>
        <v>6660415</v>
      </c>
      <c r="BE2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24" s="78">
        <f>SUM(Table53[[#This Row],[NA]:[Burst]])</f>
        <v>3</v>
      </c>
    </row>
    <row r="25" spans="1:60" ht="30" customHeight="1" x14ac:dyDescent="0.25">
      <c r="A25" s="79">
        <f>SUBTOTAL(3,$D$3:Character[[#This Row],[NameHelper]])</f>
        <v>23</v>
      </c>
      <c r="B25" s="80" t="e" vm="829">
        <f>IFERROR(INDEX(ImgDatabase!$D:$D, MATCH(Character[[#This Row],[NameHelper]], ImgDatabase!$E:$E, 0)), "")</f>
        <v>#VALUE!</v>
      </c>
      <c r="C25" s="81" t="s">
        <v>481</v>
      </c>
      <c r="D25" s="81" t="s">
        <v>481</v>
      </c>
      <c r="E25" s="53" t="e" vm="165">
        <f>IFERROR(INDEX(ImgDatabase!$G:$G, MATCH(Character[[#This Row],[NameHelper]], ImgDatabase!$E:$E, 0)), "")</f>
        <v>#VALUE!</v>
      </c>
      <c r="F25" s="53" t="e" vm="479">
        <f>IFERROR(INDEX(CharacterDetailsImg[Weapon Type], MATCH(Character[[#This Row],[NameHelper]], CharacterDetailsImg[Name], 0)), "")</f>
        <v>#VALUE!</v>
      </c>
      <c r="G25" s="82">
        <f>IFERROR(INDEX(CharacterDetailsImg[Released Version], MATCH(Character[[#This Row],[NameHelper]], CharacterDetailsImg[Name], 0)), "")</f>
        <v>1.5</v>
      </c>
      <c r="H25" s="51">
        <v>90</v>
      </c>
      <c r="I25" s="41">
        <v>9</v>
      </c>
      <c r="J25" s="41">
        <v>8</v>
      </c>
      <c r="K25" s="52">
        <v>10</v>
      </c>
      <c r="M25" s="83">
        <v>90</v>
      </c>
      <c r="N25" s="83">
        <v>10</v>
      </c>
      <c r="O25" s="84">
        <v>10</v>
      </c>
      <c r="P25" s="85">
        <v>10</v>
      </c>
      <c r="R2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5" s="86" t="e" vm="349">
        <f>IF(Character[[#This Row],[Name]]="Traveler","",IFERROR(INDEX(ImgDatabase!$I:$I,MATCH(Character[[#This Row],[NameHelper]],ImgDatabase!$E:$E,0)),""))</f>
        <v>#VALUE!</v>
      </c>
      <c r="U2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5" s="88" t="e" vm="53">
        <f>IF(Character[[#This Row],[Name]]="Traveler","",IFERROR(INDEX(ImgDatabase!$K:$K, MATCH(Character[[#This Row],[NameHelper]], ImgDatabase!$E:$E, 0)), ""))</f>
        <v>#VALUE!</v>
      </c>
      <c r="X2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44</v>
      </c>
      <c r="Y2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2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25" s="95" t="e" vm="311">
        <f>IFERROR(INDEX(ImgDatabase!$J:$J, MATCH(Character[[#This Row],[NameHelper]], ImgDatabase!$E:$E, 0)), "")</f>
        <v>#VALUE!</v>
      </c>
      <c r="AC2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6</v>
      </c>
      <c r="AE25" s="66" t="e" vm="134">
        <f>IFERROR(INDEX(ImgDatabase!$M:$M, MATCH(Character[[#This Row],[NameHelper]], ImgDatabase!$E:$E, 0)), "")</f>
        <v>#VALUE!</v>
      </c>
      <c r="AF2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5" s="66" t="e" vm="169">
        <f>IFERROR(INDEX(ImgDatabase!$N:$N, MATCH(Character[[#This Row],[NameHelper]], ImgDatabase!$E:$E, 0)), "")</f>
        <v>#VALUE!</v>
      </c>
      <c r="AI2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5" s="67" t="e" vm="133">
        <f>IFERROR(INDEX(ImgDatabase!$L:$L, MATCH(Character[[#This Row],[NameHelper]], ImgDatabase!$E:$E, 0)), "")</f>
        <v>#VALUE!</v>
      </c>
      <c r="AO2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33</v>
      </c>
      <c r="AS2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2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25" s="73">
        <f t="shared" si="0"/>
        <v>33</v>
      </c>
      <c r="AV25" s="74">
        <f t="shared" si="1"/>
        <v>0</v>
      </c>
      <c r="AW25" s="75">
        <f t="shared" si="2"/>
        <v>0</v>
      </c>
      <c r="AY2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700000</v>
      </c>
      <c r="BA2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1150000</v>
      </c>
      <c r="BB2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25" s="143">
        <f>SUM(Table40[[#This Row],[Ascension
Cost]:[Talent Cost
(Burst)]])</f>
        <v>1850000</v>
      </c>
      <c r="BE2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25" s="78">
        <f>SUM(Table53[[#This Row],[NA]:[Burst]])</f>
        <v>2</v>
      </c>
    </row>
    <row r="26" spans="1:60" ht="30" customHeight="1" x14ac:dyDescent="0.25">
      <c r="A26" s="79">
        <f>SUBTOTAL(3,$D$3:Character[[#This Row],[NameHelper]])</f>
        <v>24</v>
      </c>
      <c r="B26" s="80" t="e" vm="830">
        <f>IFERROR(INDEX(ImgDatabase!$D:$D, MATCH(Character[[#This Row],[NameHelper]], ImgDatabase!$E:$E, 0)), "")</f>
        <v>#VALUE!</v>
      </c>
      <c r="C26" s="81" t="s">
        <v>388</v>
      </c>
      <c r="D26" s="81" t="s">
        <v>388</v>
      </c>
      <c r="E26" s="53" t="e" vm="131">
        <f>IFERROR(INDEX(ImgDatabase!$G:$G, MATCH(Character[[#This Row],[NameHelper]], ImgDatabase!$E:$E, 0)), "")</f>
        <v>#VALUE!</v>
      </c>
      <c r="F26" s="53" t="e" vm="348">
        <f>IFERROR(INDEX(CharacterDetailsImg[Weapon Type], MATCH(Character[[#This Row],[NameHelper]], CharacterDetailsImg[Name], 0)), "")</f>
        <v>#VALUE!</v>
      </c>
      <c r="G26" s="82">
        <f>IFERROR(INDEX(CharacterDetailsImg[Released Version], MATCH(Character[[#This Row],[NameHelper]], CharacterDetailsImg[Name], 0)), "")</f>
        <v>3.3</v>
      </c>
      <c r="H26" s="51">
        <v>90</v>
      </c>
      <c r="I26" s="41">
        <v>4</v>
      </c>
      <c r="J26" s="41">
        <v>9</v>
      </c>
      <c r="K26" s="52">
        <v>10</v>
      </c>
      <c r="M26" s="83">
        <v>90</v>
      </c>
      <c r="N26" s="83">
        <v>10</v>
      </c>
      <c r="O26" s="84">
        <v>10</v>
      </c>
      <c r="P26" s="85">
        <v>10</v>
      </c>
      <c r="R2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6" s="86" t="e" vm="389">
        <f>IF(Character[[#This Row],[Name]]="Traveler","",IFERROR(INDEX(ImgDatabase!$I:$I,MATCH(Character[[#This Row],[NameHelper]],ImgDatabase!$E:$E,0)),""))</f>
        <v>#VALUE!</v>
      </c>
      <c r="U2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6" s="88" t="e" vm="391">
        <f>IF(Character[[#This Row],[Name]]="Traveler","",IFERROR(INDEX(ImgDatabase!$K:$K, MATCH(Character[[#This Row],[NameHelper]], ImgDatabase!$E:$E, 0)), ""))</f>
        <v>#VALUE!</v>
      </c>
      <c r="X2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2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15</v>
      </c>
      <c r="Z2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26" s="88" t="e" vm="390">
        <f>IFERROR(INDEX(ImgDatabase!$J:$J, MATCH(Character[[#This Row],[NameHelper]], ImgDatabase!$E:$E, 0)), "")</f>
        <v>#VALUE!</v>
      </c>
      <c r="AC2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26" s="86" t="e" vm="76">
        <f>IFERROR(INDEX(ImgDatabase!$M:$M, MATCH(Character[[#This Row],[NameHelper]], ImgDatabase!$E:$E, 0)), "")</f>
        <v>#VALUE!</v>
      </c>
      <c r="AF2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6" s="86" t="e" vm="135">
        <f>IFERROR(INDEX(ImgDatabase!$N:$N, MATCH(Character[[#This Row],[NameHelper]], ImgDatabase!$E:$E, 0)), "")</f>
        <v>#VALUE!</v>
      </c>
      <c r="AI2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6" s="53" t="e" vm="32">
        <f>IFERROR(INDEX(ImgDatabase!$L:$L, MATCH(Character[[#This Row],[NameHelper]], ImgDatabase!$E:$E, 0)), "")</f>
        <v>#VALUE!</v>
      </c>
      <c r="AO2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2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15</v>
      </c>
      <c r="AT2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26" s="92">
        <f t="shared" si="0"/>
        <v>43</v>
      </c>
      <c r="AV26" s="93">
        <f t="shared" si="1"/>
        <v>15</v>
      </c>
      <c r="AW26" s="94">
        <f t="shared" si="2"/>
        <v>0</v>
      </c>
      <c r="AY2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1597500</v>
      </c>
      <c r="BA2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2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26" s="140">
        <f>SUM(Table40[[#This Row],[Ascension
Cost]:[Talent Cost
(Burst)]])</f>
        <v>2297500</v>
      </c>
      <c r="BE2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26" s="78">
        <f>SUM(Table53[[#This Row],[NA]:[Burst]])</f>
        <v>2</v>
      </c>
    </row>
    <row r="27" spans="1:60" ht="30" customHeight="1" x14ac:dyDescent="0.25">
      <c r="A27" s="79">
        <f>SUBTOTAL(3,$D$3:Character[[#This Row],[NameHelper]])</f>
        <v>25</v>
      </c>
      <c r="B27" s="80" t="e" vm="831">
        <f>IFERROR(INDEX(ImgDatabase!$D:$D, MATCH(Character[[#This Row],[NameHelper]], ImgDatabase!$E:$E, 0)), "")</f>
        <v>#VALUE!</v>
      </c>
      <c r="C27" s="81" t="s">
        <v>396</v>
      </c>
      <c r="D27" s="81" t="s">
        <v>396</v>
      </c>
      <c r="E27" s="53" t="e" vm="91">
        <f>IFERROR(INDEX(ImgDatabase!$G:$G, MATCH(Character[[#This Row],[NameHelper]], ImgDatabase!$E:$E, 0)), "")</f>
        <v>#VALUE!</v>
      </c>
      <c r="F27" s="53" t="e" vm="348">
        <f>IFERROR(INDEX(CharacterDetailsImg[Weapon Type], MATCH(Character[[#This Row],[NameHelper]], CharacterDetailsImg[Name], 0)), "")</f>
        <v>#VALUE!</v>
      </c>
      <c r="G27" s="82">
        <f>IFERROR(INDEX(CharacterDetailsImg[Released Version], MATCH(Character[[#This Row],[NameHelper]], CharacterDetailsImg[Name], 0)), "")</f>
        <v>1</v>
      </c>
      <c r="H27" s="51">
        <v>90</v>
      </c>
      <c r="I27" s="41">
        <v>1</v>
      </c>
      <c r="J27" s="41">
        <v>10</v>
      </c>
      <c r="K27" s="52">
        <v>1</v>
      </c>
      <c r="M27" s="83">
        <v>90</v>
      </c>
      <c r="N27" s="83">
        <v>10</v>
      </c>
      <c r="O27" s="84">
        <v>10</v>
      </c>
      <c r="P27" s="85">
        <v>10</v>
      </c>
      <c r="R2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7" s="86" t="e" vm="210">
        <f>IF(Character[[#This Row],[Name]]="Traveler","",IFERROR(INDEX(ImgDatabase!$I:$I,MATCH(Character[[#This Row],[NameHelper]],ImgDatabase!$E:$E,0)),""))</f>
        <v>#VALUE!</v>
      </c>
      <c r="U2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7" s="88" t="e" vm="9">
        <f>IF(Character[[#This Row],[Name]]="Traveler","",IFERROR(INDEX(ImgDatabase!$K:$K, MATCH(Character[[#This Row],[NameHelper]], ImgDatabase!$E:$E, 0)), ""))</f>
        <v>#VALUE!</v>
      </c>
      <c r="X2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76</v>
      </c>
      <c r="Y2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42</v>
      </c>
      <c r="Z2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6</v>
      </c>
      <c r="AB27" s="95" t="e" vm="167">
        <f>IFERROR(INDEX(ImgDatabase!$J:$J, MATCH(Character[[#This Row],[NameHelper]], ImgDatabase!$E:$E, 0)), "")</f>
        <v>#VALUE!</v>
      </c>
      <c r="AC2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12</v>
      </c>
      <c r="AE27" s="66" t="e" vm="361">
        <f>IFERROR(INDEX(ImgDatabase!$M:$M, MATCH(Character[[#This Row],[NameHelper]], ImgDatabase!$E:$E, 0)), "")</f>
        <v>#VALUE!</v>
      </c>
      <c r="AF2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7" s="66" t="e" vm="97">
        <f>IFERROR(INDEX(ImgDatabase!$N:$N, MATCH(Character[[#This Row],[NameHelper]], ImgDatabase!$E:$E, 0)), "")</f>
        <v>#VALUE!</v>
      </c>
      <c r="AI2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7" s="67" t="e" vm="302">
        <f>IFERROR(INDEX(ImgDatabase!$L:$L, MATCH(Character[[#This Row],[NameHelper]], ImgDatabase!$E:$E, 0)), "")</f>
        <v>#VALUE!</v>
      </c>
      <c r="AO2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62</v>
      </c>
      <c r="AS2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44</v>
      </c>
      <c r="AT2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12</v>
      </c>
      <c r="AU27" s="73">
        <f t="shared" si="0"/>
        <v>62</v>
      </c>
      <c r="AV27" s="74">
        <f t="shared" si="1"/>
        <v>44</v>
      </c>
      <c r="AW27" s="75">
        <f t="shared" si="2"/>
        <v>12</v>
      </c>
      <c r="AY2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2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2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27" s="143">
        <f>SUM(Table40[[#This Row],[Ascension
Cost]:[Talent Cost
(Burst)]])</f>
        <v>3305000</v>
      </c>
      <c r="BE2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2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27" s="78">
        <f>SUM(Table53[[#This Row],[NA]:[Burst]])</f>
        <v>2</v>
      </c>
    </row>
    <row r="28" spans="1:60" ht="30" customHeight="1" x14ac:dyDescent="0.25">
      <c r="A28" s="79">
        <f>SUBTOTAL(3,$D$3:Character[[#This Row],[NameHelper]])</f>
        <v>26</v>
      </c>
      <c r="B28" s="80" t="e" vm="832">
        <f>IFERROR(INDEX(ImgDatabase!$D:$D, MATCH(Character[[#This Row],[NameHelper]], ImgDatabase!$E:$E, 0)), "")</f>
        <v>#VALUE!</v>
      </c>
      <c r="C28" s="81" t="s">
        <v>484</v>
      </c>
      <c r="D28" s="81" t="s">
        <v>484</v>
      </c>
      <c r="E28" s="53" t="e" vm="165">
        <f>IFERROR(INDEX(ImgDatabase!$G:$G, MATCH(Character[[#This Row],[NameHelper]], ImgDatabase!$E:$E, 0)), "")</f>
        <v>#VALUE!</v>
      </c>
      <c r="F28" s="53" t="e" vm="479">
        <f>IFERROR(INDEX(CharacterDetailsImg[Weapon Type], MATCH(Character[[#This Row],[NameHelper]], CharacterDetailsImg[Name], 0)), "")</f>
        <v>#VALUE!</v>
      </c>
      <c r="G28" s="82">
        <f>IFERROR(INDEX(CharacterDetailsImg[Released Version], MATCH(Character[[#This Row],[NameHelper]], CharacterDetailsImg[Name], 0)), "")</f>
        <v>4</v>
      </c>
      <c r="H28" s="51">
        <v>22</v>
      </c>
      <c r="I28" s="41">
        <v>1</v>
      </c>
      <c r="J28" s="41">
        <v>1</v>
      </c>
      <c r="K28" s="52">
        <v>1</v>
      </c>
      <c r="M28" s="83">
        <v>90</v>
      </c>
      <c r="N28" s="83">
        <v>10</v>
      </c>
      <c r="O28" s="84">
        <v>10</v>
      </c>
      <c r="P28" s="85">
        <v>10</v>
      </c>
      <c r="R2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28" s="86" t="e" vm="514">
        <f>IF(Character[[#This Row],[Name]]="Traveler","",IFERROR(INDEX(ImgDatabase!$I:$I,MATCH(Character[[#This Row],[NameHelper]],ImgDatabase!$E:$E,0)),""))</f>
        <v>#VALUE!</v>
      </c>
      <c r="U2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28" s="88" t="e" vm="94">
        <f>IF(Character[[#This Row],[Name]]="Traveler","",IFERROR(INDEX(ImgDatabase!$K:$K, MATCH(Character[[#This Row],[NameHelper]], ImgDatabase!$E:$E, 0)), ""))</f>
        <v>#VALUE!</v>
      </c>
      <c r="X2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2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2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28" s="88" t="e" vm="328">
        <f>IFERROR(INDEX(ImgDatabase!$J:$J, MATCH(Character[[#This Row],[NameHelper]], ImgDatabase!$E:$E, 0)), "")</f>
        <v>#VALUE!</v>
      </c>
      <c r="AC2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28" s="86" t="e" vm="515">
        <f>IFERROR(INDEX(ImgDatabase!$M:$M, MATCH(Character[[#This Row],[NameHelper]], ImgDatabase!$E:$E, 0)), "")</f>
        <v>#VALUE!</v>
      </c>
      <c r="AF2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28" s="86" t="e" vm="169">
        <f>IFERROR(INDEX(ImgDatabase!$N:$N, MATCH(Character[[#This Row],[NameHelper]], ImgDatabase!$E:$E, 0)), "")</f>
        <v>#VALUE!</v>
      </c>
      <c r="AI2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2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2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2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8" s="53" t="e" vm="95">
        <f>IFERROR(INDEX(ImgDatabase!$L:$L, MATCH(Character[[#This Row],[NameHelper]], ImgDatabase!$E:$E, 0)), "")</f>
        <v>#VALUE!</v>
      </c>
      <c r="AO2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2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2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2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2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2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28" s="92">
        <f t="shared" si="0"/>
        <v>129</v>
      </c>
      <c r="AV28" s="93">
        <f t="shared" si="1"/>
        <v>96</v>
      </c>
      <c r="AW28" s="94">
        <f t="shared" si="2"/>
        <v>33</v>
      </c>
      <c r="AY2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2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2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2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28" s="140">
        <f>SUM(Table40[[#This Row],[Ascension
Cost]:[Talent Cost
(Burst)]])</f>
        <v>6999660</v>
      </c>
      <c r="BE2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2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28" s="78">
        <f>SUM(Table53[[#This Row],[NA]:[Burst]])</f>
        <v>3</v>
      </c>
    </row>
    <row r="29" spans="1:60" ht="30" customHeight="1" x14ac:dyDescent="0.25">
      <c r="A29" s="79">
        <f>SUBTOTAL(3,$D$3:Character[[#This Row],[NameHelper]])</f>
        <v>27</v>
      </c>
      <c r="B29" s="80" t="e" vm="833">
        <f>IFERROR(INDEX(ImgDatabase!$D:$D, MATCH(Character[[#This Row],[NameHelper]], ImgDatabase!$E:$E, 0)), "")</f>
        <v>#VALUE!</v>
      </c>
      <c r="C29" s="81" t="s">
        <v>147</v>
      </c>
      <c r="D29" s="81" t="s">
        <v>147</v>
      </c>
      <c r="E29" s="53" t="e" vm="112">
        <f>IFERROR(INDEX(ImgDatabase!$G:$G, MATCH(Character[[#This Row],[NameHelper]], ImgDatabase!$E:$E, 0)), "")</f>
        <v>#VALUE!</v>
      </c>
      <c r="F29" s="53" t="e" vm="5">
        <f>IFERROR(INDEX(CharacterDetailsImg[Weapon Type], MATCH(Character[[#This Row],[NameHelper]], CharacterDetailsImg[Name], 0)), "")</f>
        <v>#VALUE!</v>
      </c>
      <c r="G29" s="82">
        <f>IFERROR(INDEX(CharacterDetailsImg[Released Version], MATCH(Character[[#This Row],[NameHelper]], CharacterDetailsImg[Name], 0)), "")</f>
        <v>4.2</v>
      </c>
      <c r="H29" s="51">
        <v>90</v>
      </c>
      <c r="I29" s="41">
        <v>1</v>
      </c>
      <c r="J29" s="41">
        <v>10</v>
      </c>
      <c r="K29" s="52">
        <v>10</v>
      </c>
      <c r="M29" s="83">
        <v>90</v>
      </c>
      <c r="N29" s="83">
        <v>10</v>
      </c>
      <c r="O29" s="84">
        <v>10</v>
      </c>
      <c r="P29" s="85">
        <v>10</v>
      </c>
      <c r="R2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9" s="86" t="e" vm="113">
        <f>IF(Character[[#This Row],[Name]]="Traveler","",IFERROR(INDEX(ImgDatabase!$I:$I,MATCH(Character[[#This Row],[NameHelper]],ImgDatabase!$E:$E,0)),""))</f>
        <v>#VALUE!</v>
      </c>
      <c r="U2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9" s="88" t="e" vm="94">
        <f>IF(Character[[#This Row],[Name]]="Traveler","",IFERROR(INDEX(ImgDatabase!$K:$K, MATCH(Character[[#This Row],[NameHelper]], ImgDatabase!$E:$E, 0)), ""))</f>
        <v>#VALUE!</v>
      </c>
      <c r="X2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38</v>
      </c>
      <c r="Y2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2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29" s="95" t="e" vm="114">
        <f>IFERROR(INDEX(ImgDatabase!$J:$J, MATCH(Character[[#This Row],[NameHelper]], ImgDatabase!$E:$E, 0)), "")</f>
        <v>#VALUE!</v>
      </c>
      <c r="AC2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6</v>
      </c>
      <c r="AE29" s="66" t="e" vm="116">
        <f>IFERROR(INDEX(ImgDatabase!$M:$M, MATCH(Character[[#This Row],[NameHelper]], ImgDatabase!$E:$E, 0)), "")</f>
        <v>#VALUE!</v>
      </c>
      <c r="AF2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29" s="66" t="e" vm="117">
        <f>IFERROR(INDEX(ImgDatabase!$N:$N, MATCH(Character[[#This Row],[NameHelper]], ImgDatabase!$E:$E, 0)), "")</f>
        <v>#VALUE!</v>
      </c>
      <c r="AI2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2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2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2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29" s="67" t="e" vm="115">
        <f>IFERROR(INDEX(ImgDatabase!$L:$L, MATCH(Character[[#This Row],[NameHelper]], ImgDatabase!$E:$E, 0)), "")</f>
        <v>#VALUE!</v>
      </c>
      <c r="AO2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2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2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2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31</v>
      </c>
      <c r="AS2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2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29" s="73">
        <f t="shared" si="0"/>
        <v>31</v>
      </c>
      <c r="AV29" s="74">
        <f t="shared" si="1"/>
        <v>22</v>
      </c>
      <c r="AW29" s="75">
        <f t="shared" si="2"/>
        <v>6</v>
      </c>
      <c r="AY2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2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2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2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29" s="143">
        <f>SUM(Table40[[#This Row],[Ascension
Cost]:[Talent Cost
(Burst)]])</f>
        <v>1652500</v>
      </c>
      <c r="BE2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2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2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29" s="78">
        <f>SUM(Table53[[#This Row],[NA]:[Burst]])</f>
        <v>1</v>
      </c>
    </row>
    <row r="30" spans="1:60" ht="30" customHeight="1" x14ac:dyDescent="0.25">
      <c r="A30" s="79">
        <f>SUBTOTAL(3,$D$3:Character[[#This Row],[NameHelper]])</f>
        <v>28</v>
      </c>
      <c r="B30" s="80" t="e" vm="834">
        <f>IFERROR(INDEX(ImgDatabase!$D:$D, MATCH(Character[[#This Row],[NameHelper]], ImgDatabase!$E:$E, 0)), "")</f>
        <v>#VALUE!</v>
      </c>
      <c r="C30" s="81" t="s">
        <v>487</v>
      </c>
      <c r="D30" s="81" t="s">
        <v>487</v>
      </c>
      <c r="E30" s="53" t="e" vm="50">
        <f>IFERROR(INDEX(ImgDatabase!$G:$G, MATCH(Character[[#This Row],[NameHelper]], ImgDatabase!$E:$E, 0)), "")</f>
        <v>#VALUE!</v>
      </c>
      <c r="F30" s="53" t="e" vm="479">
        <f>IFERROR(INDEX(CharacterDetailsImg[Weapon Type], MATCH(Character[[#This Row],[NameHelper]], CharacterDetailsImg[Name], 0)), "")</f>
        <v>#VALUE!</v>
      </c>
      <c r="G30" s="82">
        <f>IFERROR(INDEX(CharacterDetailsImg[Released Version], MATCH(Character[[#This Row],[NameHelper]], CharacterDetailsImg[Name], 0)), "")</f>
        <v>4.4000000000000004</v>
      </c>
      <c r="H30" s="51">
        <v>22</v>
      </c>
      <c r="I30" s="41">
        <v>1</v>
      </c>
      <c r="J30" s="41">
        <v>1</v>
      </c>
      <c r="K30" s="52">
        <v>1</v>
      </c>
      <c r="M30" s="83">
        <v>90</v>
      </c>
      <c r="N30" s="83">
        <v>10</v>
      </c>
      <c r="O30" s="84">
        <v>10</v>
      </c>
      <c r="P30" s="85">
        <v>10</v>
      </c>
      <c r="R3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30" s="86" t="e" vm="432">
        <f>IF(Character[[#This Row],[Name]]="Traveler","",IFERROR(INDEX(ImgDatabase!$I:$I,MATCH(Character[[#This Row],[NameHelper]],ImgDatabase!$E:$E,0)),""))</f>
        <v>#VALUE!</v>
      </c>
      <c r="U3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0" s="88" t="e" vm="212">
        <f>IF(Character[[#This Row],[Name]]="Traveler","",IFERROR(INDEX(ImgDatabase!$K:$K, MATCH(Character[[#This Row],[NameHelper]], ImgDatabase!$E:$E, 0)), ""))</f>
        <v>#VALUE!</v>
      </c>
      <c r="X3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3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3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30" s="88" t="e" vm="114">
        <f>IFERROR(INDEX(ImgDatabase!$J:$J, MATCH(Character[[#This Row],[NameHelper]], ImgDatabase!$E:$E, 0)), "")</f>
        <v>#VALUE!</v>
      </c>
      <c r="AC3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30" s="86" t="e" vm="450">
        <f>IFERROR(INDEX(ImgDatabase!$M:$M, MATCH(Character[[#This Row],[NameHelper]], ImgDatabase!$E:$E, 0)), "")</f>
        <v>#VALUE!</v>
      </c>
      <c r="AF3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30" s="86" t="e" vm="56">
        <f>IFERROR(INDEX(ImgDatabase!$N:$N, MATCH(Character[[#This Row],[NameHelper]], ImgDatabase!$E:$E, 0)), "")</f>
        <v>#VALUE!</v>
      </c>
      <c r="AI3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3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3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3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0" s="53" t="e" vm="462">
        <f>IFERROR(INDEX(ImgDatabase!$L:$L, MATCH(Character[[#This Row],[NameHelper]], ImgDatabase!$E:$E, 0)), "")</f>
        <v>#VALUE!</v>
      </c>
      <c r="AO3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3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3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3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3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3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30" s="92">
        <f t="shared" si="0"/>
        <v>129</v>
      </c>
      <c r="AV30" s="93">
        <f t="shared" si="1"/>
        <v>96</v>
      </c>
      <c r="AW30" s="94">
        <f t="shared" si="2"/>
        <v>33</v>
      </c>
      <c r="AY3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3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3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30" s="140">
        <f>SUM(Table40[[#This Row],[Ascension
Cost]:[Talent Cost
(Burst)]])</f>
        <v>6999660</v>
      </c>
      <c r="BE3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0" s="78">
        <f>SUM(Table53[[#This Row],[NA]:[Burst]])</f>
        <v>3</v>
      </c>
    </row>
    <row r="31" spans="1:60" ht="30" customHeight="1" x14ac:dyDescent="0.25">
      <c r="A31" s="79">
        <f>SUBTOTAL(3,$D$3:Character[[#This Row],[NameHelper]])</f>
        <v>29</v>
      </c>
      <c r="B31" s="80" t="e" vm="835">
        <f>IFERROR(INDEX(ImgDatabase!$D:$D, MATCH(Character[[#This Row],[NameHelper]], ImgDatabase!$E:$E, 0)), "")</f>
        <v>#VALUE!</v>
      </c>
      <c r="C31" s="81" t="s">
        <v>402</v>
      </c>
      <c r="D31" s="81" t="s">
        <v>402</v>
      </c>
      <c r="E31" s="53" t="e" vm="165">
        <f>IFERROR(INDEX(ImgDatabase!$G:$G, MATCH(Character[[#This Row],[NameHelper]], ImgDatabase!$E:$E, 0)), "")</f>
        <v>#VALUE!</v>
      </c>
      <c r="F31" s="53" t="e" vm="348">
        <f>IFERROR(INDEX(CharacterDetailsImg[Weapon Type], MATCH(Character[[#This Row],[NameHelper]], CharacterDetailsImg[Name], 0)), "")</f>
        <v>#VALUE!</v>
      </c>
      <c r="G31" s="82">
        <f>IFERROR(INDEX(CharacterDetailsImg[Released Version], MATCH(Character[[#This Row],[NameHelper]], CharacterDetailsImg[Name], 0)), "")</f>
        <v>1.2</v>
      </c>
      <c r="H31" s="51">
        <v>90</v>
      </c>
      <c r="I31" s="41">
        <v>10</v>
      </c>
      <c r="J31" s="41">
        <v>8</v>
      </c>
      <c r="K31" s="52">
        <v>10</v>
      </c>
      <c r="M31" s="83">
        <v>90</v>
      </c>
      <c r="N31" s="83">
        <v>10</v>
      </c>
      <c r="O31" s="84">
        <v>10</v>
      </c>
      <c r="P31" s="85">
        <v>10</v>
      </c>
      <c r="R3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1" s="86" t="e" vm="166">
        <f>IF(Character[[#This Row],[Name]]="Traveler","",IFERROR(INDEX(ImgDatabase!$I:$I,MATCH(Character[[#This Row],[NameHelper]],ImgDatabase!$E:$E,0)),""))</f>
        <v>#VALUE!</v>
      </c>
      <c r="U3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1" s="88" t="e" vm="151">
        <f>IF(Character[[#This Row],[Name]]="Traveler","",IFERROR(INDEX(ImgDatabase!$K:$K, MATCH(Character[[#This Row],[NameHelper]], ImgDatabase!$E:$E, 0)), ""))</f>
        <v>#VALUE!</v>
      </c>
      <c r="X3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28</v>
      </c>
      <c r="Y3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3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31" s="95" t="e" vm="408">
        <f>IFERROR(INDEX(ImgDatabase!$J:$J, MATCH(Character[[#This Row],[NameHelper]], ImgDatabase!$E:$E, 0)), "")</f>
        <v>#VALUE!</v>
      </c>
      <c r="AC3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4</v>
      </c>
      <c r="AE31" s="66" t="e" vm="409">
        <f>IFERROR(INDEX(ImgDatabase!$M:$M, MATCH(Character[[#This Row],[NameHelper]], ImgDatabase!$E:$E, 0)), "")</f>
        <v>#VALUE!</v>
      </c>
      <c r="AF3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1" s="66" t="e" vm="169">
        <f>IFERROR(INDEX(ImgDatabase!$N:$N, MATCH(Character[[#This Row],[NameHelper]], ImgDatabase!$E:$E, 0)), "")</f>
        <v>#VALUE!</v>
      </c>
      <c r="AI3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1" s="67" t="e" vm="115">
        <f>IFERROR(INDEX(ImgDatabase!$L:$L, MATCH(Character[[#This Row],[NameHelper]], ImgDatabase!$E:$E, 0)), "")</f>
        <v>#VALUE!</v>
      </c>
      <c r="AO3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21</v>
      </c>
      <c r="AS3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3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31" s="73">
        <f t="shared" si="0"/>
        <v>21</v>
      </c>
      <c r="AV31" s="74">
        <f t="shared" si="1"/>
        <v>0</v>
      </c>
      <c r="AW31" s="75">
        <f t="shared" si="2"/>
        <v>0</v>
      </c>
      <c r="AY3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3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1150000</v>
      </c>
      <c r="BB3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31" s="143">
        <f>SUM(Table40[[#This Row],[Ascension
Cost]:[Talent Cost
(Burst)]])</f>
        <v>1150000</v>
      </c>
      <c r="BE3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3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31" s="78">
        <f>SUM(Table53[[#This Row],[NA]:[Burst]])</f>
        <v>1</v>
      </c>
    </row>
    <row r="32" spans="1:60" ht="30" customHeight="1" x14ac:dyDescent="0.25">
      <c r="A32" s="79">
        <f>SUBTOTAL(3,$D$3:Character[[#This Row],[NameHelper]])</f>
        <v>30</v>
      </c>
      <c r="B32" s="80" t="e" vm="836">
        <f>IFERROR(INDEX(ImgDatabase!$D:$D, MATCH(Character[[#This Row],[NameHelper]], ImgDatabase!$E:$E, 0)), "")</f>
        <v>#VALUE!</v>
      </c>
      <c r="C32" s="81" t="s">
        <v>408</v>
      </c>
      <c r="D32" s="81" t="s">
        <v>408</v>
      </c>
      <c r="E32" s="53" t="e" vm="6">
        <f>IFERROR(INDEX(ImgDatabase!$G:$G, MATCH(Character[[#This Row],[NameHelper]], ImgDatabase!$E:$E, 0)), "")</f>
        <v>#VALUE!</v>
      </c>
      <c r="F32" s="53" t="e" vm="348">
        <f>IFERROR(INDEX(CharacterDetailsImg[Weapon Type], MATCH(Character[[#This Row],[NameHelper]], CharacterDetailsImg[Name], 0)), "")</f>
        <v>#VALUE!</v>
      </c>
      <c r="G32" s="82">
        <f>IFERROR(INDEX(CharacterDetailsImg[Released Version], MATCH(Character[[#This Row],[NameHelper]], CharacterDetailsImg[Name], 0)), "")</f>
        <v>2.2999999999999998</v>
      </c>
      <c r="H32" s="51">
        <v>21</v>
      </c>
      <c r="I32" s="41">
        <v>1</v>
      </c>
      <c r="J32" s="41">
        <v>1</v>
      </c>
      <c r="K32" s="52">
        <v>1</v>
      </c>
      <c r="M32" s="83">
        <v>90</v>
      </c>
      <c r="N32" s="83">
        <v>10</v>
      </c>
      <c r="O32" s="84">
        <v>10</v>
      </c>
      <c r="P32" s="85">
        <v>10</v>
      </c>
      <c r="R3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32" s="86" t="e" vm="181">
        <f>IF(Character[[#This Row],[Name]]="Traveler","",IFERROR(INDEX(ImgDatabase!$I:$I,MATCH(Character[[#This Row],[NameHelper]],ImgDatabase!$E:$E,0)),""))</f>
        <v>#VALUE!</v>
      </c>
      <c r="U3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2" s="88" t="e" vm="74">
        <f>IF(Character[[#This Row],[Name]]="Traveler","",IFERROR(INDEX(ImgDatabase!$K:$K, MATCH(Character[[#This Row],[NameHelper]], ImgDatabase!$E:$E, 0)), ""))</f>
        <v>#VALUE!</v>
      </c>
      <c r="X3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3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3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32" s="88" t="e" vm="350">
        <f>IFERROR(INDEX(ImgDatabase!$J:$J, MATCH(Character[[#This Row],[NameHelper]], ImgDatabase!$E:$E, 0)), "")</f>
        <v>#VALUE!</v>
      </c>
      <c r="AC3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32" s="86" t="e" vm="417">
        <f>IFERROR(INDEX(ImgDatabase!$M:$M, MATCH(Character[[#This Row],[NameHelper]], ImgDatabase!$E:$E, 0)), "")</f>
        <v>#VALUE!</v>
      </c>
      <c r="AF3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32" s="86" t="e" vm="12">
        <f>IFERROR(INDEX(ImgDatabase!$N:$N, MATCH(Character[[#This Row],[NameHelper]], ImgDatabase!$E:$E, 0)), "")</f>
        <v>#VALUE!</v>
      </c>
      <c r="AI3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3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3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3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2" s="53" t="e" vm="75">
        <f>IFERROR(INDEX(ImgDatabase!$L:$L, MATCH(Character[[#This Row],[NameHelper]], ImgDatabase!$E:$E, 0)), "")</f>
        <v>#VALUE!</v>
      </c>
      <c r="AO3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3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3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3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3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3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32" s="92">
        <f t="shared" si="0"/>
        <v>129</v>
      </c>
      <c r="AV32" s="93">
        <f t="shared" si="1"/>
        <v>96</v>
      </c>
      <c r="AW32" s="94">
        <f t="shared" si="2"/>
        <v>33</v>
      </c>
      <c r="AY3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3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3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32" s="140">
        <f>SUM(Table40[[#This Row],[Ascension
Cost]:[Talent Cost
(Burst)]])</f>
        <v>7003020</v>
      </c>
      <c r="BE3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2" s="78">
        <f>SUM(Table53[[#This Row],[NA]:[Burst]])</f>
        <v>3</v>
      </c>
    </row>
    <row r="33" spans="1:60" ht="30" customHeight="1" x14ac:dyDescent="0.25">
      <c r="A33" s="79">
        <f>SUBTOTAL(3,$D$3:Character[[#This Row],[NameHelper]])</f>
        <v>31</v>
      </c>
      <c r="B33" s="80" t="e" vm="837">
        <f>IFERROR(INDEX(ImgDatabase!$D:$D, MATCH(Character[[#This Row],[NameHelper]], ImgDatabase!$E:$E, 0)), "")</f>
        <v>#VALUE!</v>
      </c>
      <c r="C33" s="81" t="s">
        <v>693</v>
      </c>
      <c r="D33" s="81" t="s">
        <v>553</v>
      </c>
      <c r="E33" s="53" t="e" vm="50">
        <f>IFERROR(INDEX(ImgDatabase!$G:$G, MATCH(Character[[#This Row],[NameHelper]], ImgDatabase!$E:$E, 0)), "")</f>
        <v>#VALUE!</v>
      </c>
      <c r="F33" s="53" t="e" vm="546">
        <f>IFERROR(INDEX(CharacterDetailsImg[Weapon Type], MATCH(Character[[#This Row],[NameHelper]], CharacterDetailsImg[Name], 0)), "")</f>
        <v>#VALUE!</v>
      </c>
      <c r="G33" s="82">
        <f>IFERROR(INDEX(CharacterDetailsImg[Released Version], MATCH(Character[[#This Row],[NameHelper]], CharacterDetailsImg[Name], 0)), "")</f>
        <v>1.3</v>
      </c>
      <c r="H33" s="51">
        <v>90</v>
      </c>
      <c r="I33" s="41">
        <v>10</v>
      </c>
      <c r="J33" s="41">
        <v>10</v>
      </c>
      <c r="K33" s="52">
        <v>10</v>
      </c>
      <c r="M33" s="83">
        <v>90</v>
      </c>
      <c r="N33" s="83">
        <v>10</v>
      </c>
      <c r="O33" s="84">
        <v>10</v>
      </c>
      <c r="P33" s="85">
        <v>10</v>
      </c>
      <c r="R3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3" s="86" t="e" vm="598">
        <f>IF(Character[[#This Row],[Name]]="Traveler","",IFERROR(INDEX(ImgDatabase!$I:$I,MATCH(Character[[#This Row],[NameHelper]],ImgDatabase!$E:$E,0)),""))</f>
        <v>#VALUE!</v>
      </c>
      <c r="U3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3" s="88" t="e" vm="151">
        <f>IF(Character[[#This Row],[Name]]="Traveler","",IFERROR(INDEX(ImgDatabase!$K:$K, MATCH(Character[[#This Row],[NameHelper]], ImgDatabase!$E:$E, 0)), ""))</f>
        <v>#VALUE!</v>
      </c>
      <c r="X3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3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3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33" s="95" t="e" vm="380">
        <f>IFERROR(INDEX(ImgDatabase!$J:$J, MATCH(Character[[#This Row],[NameHelper]], ImgDatabase!$E:$E, 0)), "")</f>
        <v>#VALUE!</v>
      </c>
      <c r="AC3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33" s="66" t="e" vm="339">
        <f>IFERROR(INDEX(ImgDatabase!$M:$M, MATCH(Character[[#This Row],[NameHelper]], ImgDatabase!$E:$E, 0)), "")</f>
        <v>#VALUE!</v>
      </c>
      <c r="AF3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3" s="66" t="e" vm="56">
        <f>IFERROR(INDEX(ImgDatabase!$N:$N, MATCH(Character[[#This Row],[NameHelper]], ImgDatabase!$E:$E, 0)), "")</f>
        <v>#VALUE!</v>
      </c>
      <c r="AI3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3" s="67" t="e" vm="115">
        <f>IFERROR(INDEX(ImgDatabase!$L:$L, MATCH(Character[[#This Row],[NameHelper]], ImgDatabase!$E:$E, 0)), "")</f>
        <v>#VALUE!</v>
      </c>
      <c r="AO3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3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3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33" s="73">
        <f t="shared" si="0"/>
        <v>0</v>
      </c>
      <c r="AV33" s="74">
        <f t="shared" si="1"/>
        <v>0</v>
      </c>
      <c r="AW33" s="75">
        <f t="shared" si="2"/>
        <v>0</v>
      </c>
      <c r="AY3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3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3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33" s="143">
        <f>SUM(Table40[[#This Row],[Ascension
Cost]:[Talent Cost
(Burst)]])</f>
        <v>0</v>
      </c>
      <c r="BE3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3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3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33" s="78">
        <f>SUM(Table53[[#This Row],[NA]:[Burst]])</f>
        <v>0</v>
      </c>
    </row>
    <row r="34" spans="1:60" ht="30" customHeight="1" x14ac:dyDescent="0.25">
      <c r="A34" s="79">
        <f>SUBTOTAL(3,$D$3:Character[[#This Row],[NameHelper]])</f>
        <v>32</v>
      </c>
      <c r="B34" s="80" t="e" vm="838">
        <f>IFERROR(INDEX(ImgDatabase!$D:$D, MATCH(Character[[#This Row],[NameHelper]], ImgDatabase!$E:$E, 0)), "")</f>
        <v>#VALUE!</v>
      </c>
      <c r="C34" s="81" t="s">
        <v>158</v>
      </c>
      <c r="D34" s="81" t="s">
        <v>158</v>
      </c>
      <c r="E34" s="53" t="e" vm="131">
        <f>IFERROR(INDEX(ImgDatabase!$G:$G, MATCH(Character[[#This Row],[NameHelper]], ImgDatabase!$E:$E, 0)), "")</f>
        <v>#VALUE!</v>
      </c>
      <c r="F34" s="53" t="e" vm="5">
        <f>IFERROR(INDEX(CharacterDetailsImg[Weapon Type], MATCH(Character[[#This Row],[NameHelper]], CharacterDetailsImg[Name], 0)), "")</f>
        <v>#VALUE!</v>
      </c>
      <c r="G34" s="82">
        <f>IFERROR(INDEX(CharacterDetailsImg[Released Version], MATCH(Character[[#This Row],[NameHelper]], CharacterDetailsImg[Name], 0)), "")</f>
        <v>1</v>
      </c>
      <c r="H34" s="51">
        <v>40</v>
      </c>
      <c r="I34" s="41">
        <v>1</v>
      </c>
      <c r="J34" s="41">
        <v>1</v>
      </c>
      <c r="K34" s="52">
        <v>1</v>
      </c>
      <c r="M34" s="83">
        <v>90</v>
      </c>
      <c r="N34" s="83">
        <v>10</v>
      </c>
      <c r="O34" s="84">
        <v>10</v>
      </c>
      <c r="P34" s="85">
        <v>10</v>
      </c>
      <c r="R3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384</v>
      </c>
      <c r="T34" s="86" t="e" vm="132">
        <f>IF(Character[[#This Row],[Name]]="Traveler","",IFERROR(INDEX(ImgDatabase!$I:$I,MATCH(Character[[#This Row],[NameHelper]],ImgDatabase!$E:$E,0)),""))</f>
        <v>#VALUE!</v>
      </c>
      <c r="U3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4" s="88" t="e" vm="53">
        <f>IF(Character[[#This Row],[Name]]="Traveler","",IFERROR(INDEX(ImgDatabase!$K:$K, MATCH(Character[[#This Row],[NameHelper]], ImgDatabase!$E:$E, 0)), ""))</f>
        <v>#VALUE!</v>
      </c>
      <c r="X3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3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3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34" s="88" t="e" vm="52">
        <f>IFERROR(INDEX(ImgDatabase!$J:$J, MATCH(Character[[#This Row],[NameHelper]], ImgDatabase!$E:$E, 0)), "")</f>
        <v>#VALUE!</v>
      </c>
      <c r="AC3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34" s="86" t="e" vm="134">
        <f>IFERROR(INDEX(ImgDatabase!$M:$M, MATCH(Character[[#This Row],[NameHelper]], ImgDatabase!$E:$E, 0)), "")</f>
        <v>#VALUE!</v>
      </c>
      <c r="AF3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34" s="86" t="e" vm="135">
        <f>IFERROR(INDEX(ImgDatabase!$N:$N, MATCH(Character[[#This Row],[NameHelper]], ImgDatabase!$E:$E, 0)), "")</f>
        <v>#VALUE!</v>
      </c>
      <c r="AI3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3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3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3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4" s="53" t="e" vm="133">
        <f>IFERROR(INDEX(ImgDatabase!$L:$L, MATCH(Character[[#This Row],[NameHelper]], ImgDatabase!$E:$E, 0)), "")</f>
        <v>#VALUE!</v>
      </c>
      <c r="AO3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3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3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3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3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3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34" s="92">
        <f t="shared" si="0"/>
        <v>129</v>
      </c>
      <c r="AV34" s="93">
        <f t="shared" si="1"/>
        <v>96</v>
      </c>
      <c r="AW34" s="94">
        <f t="shared" si="2"/>
        <v>33</v>
      </c>
      <c r="AY3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1932830</v>
      </c>
      <c r="AZ3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3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34" s="140">
        <f>SUM(Table40[[#This Row],[Ascension
Cost]:[Talent Cost
(Burst)]])</f>
        <v>6890330</v>
      </c>
      <c r="BE3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4" s="78">
        <f>SUM(Table53[[#This Row],[NA]:[Burst]])</f>
        <v>3</v>
      </c>
    </row>
    <row r="35" spans="1:60" ht="30" customHeight="1" x14ac:dyDescent="0.25">
      <c r="A35" s="79">
        <f>SUBTOTAL(3,$D$3:Character[[#This Row],[NameHelper]])</f>
        <v>33</v>
      </c>
      <c r="B35" s="80" t="e" vm="839">
        <f>IFERROR(INDEX(ImgDatabase!$D:$D, MATCH(Character[[#This Row],[NameHelper]], ImgDatabase!$E:$E, 0)), "")</f>
        <v>#VALUE!</v>
      </c>
      <c r="C35" s="81" t="s">
        <v>180</v>
      </c>
      <c r="D35" s="81" t="s">
        <v>180</v>
      </c>
      <c r="E35" s="53" t="e" vm="165">
        <f>IFERROR(INDEX(ImgDatabase!$G:$G, MATCH(Character[[#This Row],[NameHelper]], ImgDatabase!$E:$E, 0)), "")</f>
        <v>#VALUE!</v>
      </c>
      <c r="F35" s="53" t="e" vm="5">
        <f>IFERROR(INDEX(CharacterDetailsImg[Weapon Type], MATCH(Character[[#This Row],[NameHelper]], CharacterDetailsImg[Name], 0)), "")</f>
        <v>#VALUE!</v>
      </c>
      <c r="G35" s="82">
        <f>IFERROR(INDEX(CharacterDetailsImg[Released Version], MATCH(Character[[#This Row],[NameHelper]], CharacterDetailsImg[Name], 0)), "")</f>
        <v>2</v>
      </c>
      <c r="H35" s="51">
        <v>40</v>
      </c>
      <c r="I35" s="41">
        <v>1</v>
      </c>
      <c r="J35" s="41">
        <v>1</v>
      </c>
      <c r="K35" s="52">
        <v>1</v>
      </c>
      <c r="M35" s="83">
        <v>90</v>
      </c>
      <c r="N35" s="83">
        <v>10</v>
      </c>
      <c r="O35" s="84">
        <v>10</v>
      </c>
      <c r="P35" s="85">
        <v>10</v>
      </c>
      <c r="R3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384</v>
      </c>
      <c r="T35" s="86" t="e" vm="166">
        <f>IF(Character[[#This Row],[Name]]="Traveler","",IFERROR(INDEX(ImgDatabase!$I:$I,MATCH(Character[[#This Row],[NameHelper]],ImgDatabase!$E:$E,0)),""))</f>
        <v>#VALUE!</v>
      </c>
      <c r="U3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5" s="88" t="e" vm="9">
        <f>IF(Character[[#This Row],[Name]]="Traveler","",IFERROR(INDEX(ImgDatabase!$K:$K, MATCH(Character[[#This Row],[NameHelper]], ImgDatabase!$E:$E, 0)), ""))</f>
        <v>#VALUE!</v>
      </c>
      <c r="X3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3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3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35" s="95" t="e" vm="167">
        <f>IFERROR(INDEX(ImgDatabase!$J:$J, MATCH(Character[[#This Row],[NameHelper]], ImgDatabase!$E:$E, 0)), "")</f>
        <v>#VALUE!</v>
      </c>
      <c r="AC3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35" s="66" t="e" vm="168">
        <f>IFERROR(INDEX(ImgDatabase!$M:$M, MATCH(Character[[#This Row],[NameHelper]], ImgDatabase!$E:$E, 0)), "")</f>
        <v>#VALUE!</v>
      </c>
      <c r="AF3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35" s="66" t="e" vm="169">
        <f>IFERROR(INDEX(ImgDatabase!$N:$N, MATCH(Character[[#This Row],[NameHelper]], ImgDatabase!$E:$E, 0)), "")</f>
        <v>#VALUE!</v>
      </c>
      <c r="AI3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3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3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3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5" s="67" t="e" vm="54">
        <f>IFERROR(INDEX(ImgDatabase!$L:$L, MATCH(Character[[#This Row],[NameHelper]], ImgDatabase!$E:$E, 0)), "")</f>
        <v>#VALUE!</v>
      </c>
      <c r="AO3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3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3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3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3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3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35" s="73">
        <f t="shared" ref="AU35:AU66" si="3">SUM(AO35,AR35)</f>
        <v>129</v>
      </c>
      <c r="AV35" s="74">
        <f t="shared" ref="AV35:AV66" si="4">SUM(AP35,AS35)</f>
        <v>96</v>
      </c>
      <c r="AW35" s="75">
        <f t="shared" ref="AW35:AW66" si="5">SUM(AQ35,AT35)</f>
        <v>33</v>
      </c>
      <c r="AY3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1932830</v>
      </c>
      <c r="AZ3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3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35" s="143">
        <f>SUM(Table40[[#This Row],[Ascension
Cost]:[Talent Cost
(Burst)]])</f>
        <v>6890330</v>
      </c>
      <c r="BE3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5" s="78">
        <f>SUM(Table53[[#This Row],[NA]:[Burst]])</f>
        <v>3</v>
      </c>
    </row>
    <row r="36" spans="1:60" ht="30" customHeight="1" x14ac:dyDescent="0.25">
      <c r="A36" s="79">
        <f>SUBTOTAL(3,$D$3:Character[[#This Row],[NameHelper]])</f>
        <v>34</v>
      </c>
      <c r="B36" s="80" t="e" vm="840">
        <f>IFERROR(INDEX(ImgDatabase!$D:$D, MATCH(Character[[#This Row],[NameHelper]], ImgDatabase!$E:$E, 0)), "")</f>
        <v>#VALUE!</v>
      </c>
      <c r="C36" s="81" t="s">
        <v>694</v>
      </c>
      <c r="D36" s="81" t="s">
        <v>189</v>
      </c>
      <c r="E36" s="53" t="e" vm="165">
        <f>IFERROR(INDEX(ImgDatabase!$G:$G, MATCH(Character[[#This Row],[NameHelper]], ImgDatabase!$E:$E, 0)), "")</f>
        <v>#VALUE!</v>
      </c>
      <c r="F36" s="53" t="e" vm="5">
        <f>IFERROR(INDEX(CharacterDetailsImg[Weapon Type], MATCH(Character[[#This Row],[NameHelper]], CharacterDetailsImg[Name], 0)), "")</f>
        <v>#VALUE!</v>
      </c>
      <c r="G36" s="82">
        <f>IFERROR(INDEX(CharacterDetailsImg[Released Version], MATCH(Character[[#This Row],[NameHelper]], CharacterDetailsImg[Name], 0)), "")</f>
        <v>2.6</v>
      </c>
      <c r="H36" s="51">
        <v>90</v>
      </c>
      <c r="I36" s="41">
        <v>10</v>
      </c>
      <c r="J36" s="41">
        <v>10</v>
      </c>
      <c r="K36" s="52">
        <v>10</v>
      </c>
      <c r="M36" s="83">
        <v>90</v>
      </c>
      <c r="N36" s="83">
        <v>10</v>
      </c>
      <c r="O36" s="84">
        <v>10</v>
      </c>
      <c r="P36" s="85">
        <v>10</v>
      </c>
      <c r="R3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6" s="86" t="e" vm="181">
        <f>IF(Character[[#This Row],[Name]]="Traveler","",IFERROR(INDEX(ImgDatabase!$I:$I,MATCH(Character[[#This Row],[NameHelper]],ImgDatabase!$E:$E,0)),""))</f>
        <v>#VALUE!</v>
      </c>
      <c r="U3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6" s="88" t="e" vm="183">
        <f>IF(Character[[#This Row],[Name]]="Traveler","",IFERROR(INDEX(ImgDatabase!$K:$K, MATCH(Character[[#This Row],[NameHelper]], ImgDatabase!$E:$E, 0)), ""))</f>
        <v>#VALUE!</v>
      </c>
      <c r="X3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3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3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36" s="88" t="e" vm="182">
        <f>IFERROR(INDEX(ImgDatabase!$J:$J, MATCH(Character[[#This Row],[NameHelper]], ImgDatabase!$E:$E, 0)), "")</f>
        <v>#VALUE!</v>
      </c>
      <c r="AC3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36" s="86" t="e" vm="185">
        <f>IFERROR(INDEX(ImgDatabase!$M:$M, MATCH(Character[[#This Row],[NameHelper]], ImgDatabase!$E:$E, 0)), "")</f>
        <v>#VALUE!</v>
      </c>
      <c r="AF3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6" s="86" t="e" vm="169">
        <f>IFERROR(INDEX(ImgDatabase!$N:$N, MATCH(Character[[#This Row],[NameHelper]], ImgDatabase!$E:$E, 0)), "")</f>
        <v>#VALUE!</v>
      </c>
      <c r="AI3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6" s="53" t="e" vm="184">
        <f>IFERROR(INDEX(ImgDatabase!$L:$L, MATCH(Character[[#This Row],[NameHelper]], ImgDatabase!$E:$E, 0)), "")</f>
        <v>#VALUE!</v>
      </c>
      <c r="AO3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3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3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36" s="92">
        <f t="shared" si="3"/>
        <v>0</v>
      </c>
      <c r="AV36" s="93">
        <f t="shared" si="4"/>
        <v>0</v>
      </c>
      <c r="AW36" s="94">
        <f t="shared" si="5"/>
        <v>0</v>
      </c>
      <c r="AY3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3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3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36" s="140">
        <f>SUM(Table40[[#This Row],[Ascension
Cost]:[Talent Cost
(Burst)]])</f>
        <v>0</v>
      </c>
      <c r="BE3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3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3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36" s="78">
        <f>SUM(Table53[[#This Row],[NA]:[Burst]])</f>
        <v>0</v>
      </c>
    </row>
    <row r="37" spans="1:60" ht="30" customHeight="1" x14ac:dyDescent="0.25">
      <c r="A37" s="79">
        <f>SUBTOTAL(3,$D$3:Character[[#This Row],[NameHelper]])</f>
        <v>35</v>
      </c>
      <c r="B37" s="80" t="e" vm="841">
        <f>IFERROR(INDEX(ImgDatabase!$D:$D, MATCH(Character[[#This Row],[NameHelper]], ImgDatabase!$E:$E, 0)), "")</f>
        <v>#VALUE!</v>
      </c>
      <c r="C37" s="81" t="s">
        <v>695</v>
      </c>
      <c r="D37" s="81" t="s">
        <v>200</v>
      </c>
      <c r="E37" s="53" t="e" vm="112">
        <f>IFERROR(INDEX(ImgDatabase!$G:$G, MATCH(Character[[#This Row],[NameHelper]], ImgDatabase!$E:$E, 0)), "")</f>
        <v>#VALUE!</v>
      </c>
      <c r="F37" s="53" t="e" vm="5">
        <f>IFERROR(INDEX(CharacterDetailsImg[Weapon Type], MATCH(Character[[#This Row],[NameHelper]], CharacterDetailsImg[Name], 0)), "")</f>
        <v>#VALUE!</v>
      </c>
      <c r="G37" s="82">
        <f>IFERROR(INDEX(CharacterDetailsImg[Released Version], MATCH(Character[[#This Row],[NameHelper]], CharacterDetailsImg[Name], 0)), "")</f>
        <v>3.6</v>
      </c>
      <c r="H37" s="51">
        <v>0</v>
      </c>
      <c r="I37" s="41">
        <v>0</v>
      </c>
      <c r="J37" s="41">
        <v>0</v>
      </c>
      <c r="K37" s="52">
        <v>0</v>
      </c>
      <c r="M37" s="83">
        <v>90</v>
      </c>
      <c r="N37" s="83">
        <v>10</v>
      </c>
      <c r="O37" s="84">
        <v>10</v>
      </c>
      <c r="P37" s="85">
        <v>10</v>
      </c>
      <c r="R3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7" s="86" t="e" vm="197">
        <f>IF(Character[[#This Row],[Name]]="Traveler","",IFERROR(INDEX(ImgDatabase!$I:$I,MATCH(Character[[#This Row],[NameHelper]],ImgDatabase!$E:$E,0)),""))</f>
        <v>#VALUE!</v>
      </c>
      <c r="U3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7" s="88" t="e" vm="183">
        <f>IF(Character[[#This Row],[Name]]="Traveler","",IFERROR(INDEX(ImgDatabase!$K:$K, MATCH(Character[[#This Row],[NameHelper]], ImgDatabase!$E:$E, 0)), ""))</f>
        <v>#VALUE!</v>
      </c>
      <c r="X3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3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3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37" s="95" t="e" vm="198">
        <f>IFERROR(INDEX(ImgDatabase!$J:$J, MATCH(Character[[#This Row],[NameHelper]], ImgDatabase!$E:$E, 0)), "")</f>
        <v>#VALUE!</v>
      </c>
      <c r="AC3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37" s="66" t="e" vm="185">
        <f>IFERROR(INDEX(ImgDatabase!$M:$M, MATCH(Character[[#This Row],[NameHelper]], ImgDatabase!$E:$E, 0)), "")</f>
        <v>#VALUE!</v>
      </c>
      <c r="AF3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7" s="66" t="e" vm="117">
        <f>IFERROR(INDEX(ImgDatabase!$N:$N, MATCH(Character[[#This Row],[NameHelper]], ImgDatabase!$E:$E, 0)), "")</f>
        <v>#VALUE!</v>
      </c>
      <c r="AI3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7" s="67" t="e" vm="184">
        <f>IFERROR(INDEX(ImgDatabase!$L:$L, MATCH(Character[[#This Row],[NameHelper]], ImgDatabase!$E:$E, 0)), "")</f>
        <v>#VALUE!</v>
      </c>
      <c r="AO3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3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3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37" s="73">
        <f t="shared" si="3"/>
        <v>0</v>
      </c>
      <c r="AV37" s="74">
        <f t="shared" si="4"/>
        <v>0</v>
      </c>
      <c r="AW37" s="75">
        <f t="shared" si="5"/>
        <v>0</v>
      </c>
      <c r="AY3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3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3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37" s="143">
        <f>SUM(Table40[[#This Row],[Ascension
Cost]:[Talent Cost
(Burst)]])</f>
        <v>0</v>
      </c>
      <c r="BE3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3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3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37" s="78">
        <f>SUM(Table53[[#This Row],[NA]:[Burst]])</f>
        <v>0</v>
      </c>
    </row>
    <row r="38" spans="1:60" ht="30" customHeight="1" x14ac:dyDescent="0.25">
      <c r="A38" s="79">
        <f>SUBTOTAL(3,$D$3:Character[[#This Row],[NameHelper]])</f>
        <v>36</v>
      </c>
      <c r="B38" s="80" t="e" vm="842">
        <f>IFERROR(INDEX(ImgDatabase!$D:$D, MATCH(Character[[#This Row],[NameHelper]], ImgDatabase!$E:$E, 0)), "")</f>
        <v>#VALUE!</v>
      </c>
      <c r="C38" s="81" t="s">
        <v>490</v>
      </c>
      <c r="D38" s="81" t="s">
        <v>490</v>
      </c>
      <c r="E38" s="53" t="e" vm="28">
        <f>IFERROR(INDEX(ImgDatabase!$G:$G, MATCH(Character[[#This Row],[NameHelper]], ImgDatabase!$E:$E, 0)), "")</f>
        <v>#VALUE!</v>
      </c>
      <c r="F38" s="53" t="e" vm="479">
        <f>IFERROR(INDEX(CharacterDetailsImg[Weapon Type], MATCH(Character[[#This Row],[NameHelper]], CharacterDetailsImg[Name], 0)), "")</f>
        <v>#VALUE!</v>
      </c>
      <c r="G38" s="82">
        <f>IFERROR(INDEX(CharacterDetailsImg[Released Version], MATCH(Character[[#This Row],[NameHelper]], CharacterDetailsImg[Name], 0)), "")</f>
        <v>1.6</v>
      </c>
      <c r="H38" s="51">
        <v>22</v>
      </c>
      <c r="I38" s="41">
        <v>1</v>
      </c>
      <c r="J38" s="41">
        <v>1</v>
      </c>
      <c r="K38" s="52">
        <v>1</v>
      </c>
      <c r="M38" s="83">
        <v>90</v>
      </c>
      <c r="N38" s="83">
        <v>10</v>
      </c>
      <c r="O38" s="84">
        <v>10</v>
      </c>
      <c r="P38" s="85">
        <v>10</v>
      </c>
      <c r="R3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38" s="86" t="e" vm="522">
        <f>IF(Character[[#This Row],[Name]]="Traveler","",IFERROR(INDEX(ImgDatabase!$I:$I,MATCH(Character[[#This Row],[NameHelper]],ImgDatabase!$E:$E,0)),""))</f>
        <v>#VALUE!</v>
      </c>
      <c r="U3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8" s="88" t="e" vm="31">
        <f>IF(Character[[#This Row],[Name]]="Traveler","",IFERROR(INDEX(ImgDatabase!$K:$K, MATCH(Character[[#This Row],[NameHelper]], ImgDatabase!$E:$E, 0)), ""))</f>
        <v>#VALUE!</v>
      </c>
      <c r="X3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3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3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38" s="88" t="e" vm="433">
        <f>IFERROR(INDEX(ImgDatabase!$J:$J, MATCH(Character[[#This Row],[NameHelper]], ImgDatabase!$E:$E, 0)), "")</f>
        <v>#VALUE!</v>
      </c>
      <c r="AC3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38" s="86" t="e" vm="523">
        <f>IFERROR(INDEX(ImgDatabase!$M:$M, MATCH(Character[[#This Row],[NameHelper]], ImgDatabase!$E:$E, 0)), "")</f>
        <v>#VALUE!</v>
      </c>
      <c r="AF3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38" s="86" t="e" vm="34">
        <f>IFERROR(INDEX(ImgDatabase!$N:$N, MATCH(Character[[#This Row],[NameHelper]], ImgDatabase!$E:$E, 0)), "")</f>
        <v>#VALUE!</v>
      </c>
      <c r="AI3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3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3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3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8" s="53" t="e" vm="272">
        <f>IFERROR(INDEX(ImgDatabase!$L:$L, MATCH(Character[[#This Row],[NameHelper]], ImgDatabase!$E:$E, 0)), "")</f>
        <v>#VALUE!</v>
      </c>
      <c r="AO3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3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3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3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3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3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38" s="92">
        <f t="shared" si="3"/>
        <v>129</v>
      </c>
      <c r="AV38" s="93">
        <f t="shared" si="4"/>
        <v>96</v>
      </c>
      <c r="AW38" s="94">
        <f t="shared" si="5"/>
        <v>33</v>
      </c>
      <c r="AY3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3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3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38" s="140">
        <f>SUM(Table40[[#This Row],[Ascension
Cost]:[Talent Cost
(Burst)]])</f>
        <v>6999660</v>
      </c>
      <c r="BE3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8" s="78">
        <f>SUM(Table53[[#This Row],[NA]:[Burst]])</f>
        <v>3</v>
      </c>
    </row>
    <row r="39" spans="1:60" ht="30" customHeight="1" x14ac:dyDescent="0.25">
      <c r="A39" s="79">
        <f>SUBTOTAL(3,$D$3:Character[[#This Row],[NameHelper]])</f>
        <v>37</v>
      </c>
      <c r="B39" s="80" t="e" vm="843">
        <f>IFERROR(INDEX(ImgDatabase!$D:$D, MATCH(Character[[#This Row],[NameHelper]], ImgDatabase!$E:$E, 0)), "")</f>
        <v>#VALUE!</v>
      </c>
      <c r="C39" s="81" t="s">
        <v>696</v>
      </c>
      <c r="D39" s="81" t="s">
        <v>171</v>
      </c>
      <c r="E39" s="53" t="e" vm="131">
        <f>IFERROR(INDEX(ImgDatabase!$G:$G, MATCH(Character[[#This Row],[NameHelper]], ImgDatabase!$E:$E, 0)), "")</f>
        <v>#VALUE!</v>
      </c>
      <c r="F39" s="53" t="e" vm="5">
        <f>IFERROR(INDEX(CharacterDetailsImg[Weapon Type], MATCH(Character[[#This Row],[NameHelper]], CharacterDetailsImg[Name], 0)), "")</f>
        <v>#VALUE!</v>
      </c>
      <c r="G39" s="82">
        <f>IFERROR(INDEX(CharacterDetailsImg[Released Version], MATCH(Character[[#This Row],[NameHelper]], CharacterDetailsImg[Name], 0)), "")</f>
        <v>1</v>
      </c>
      <c r="H39" s="51">
        <v>90</v>
      </c>
      <c r="I39" s="41">
        <v>1</v>
      </c>
      <c r="J39" s="41">
        <v>9</v>
      </c>
      <c r="K39" s="52">
        <v>9</v>
      </c>
      <c r="M39" s="83">
        <v>90</v>
      </c>
      <c r="N39" s="83">
        <v>10</v>
      </c>
      <c r="O39" s="84">
        <v>10</v>
      </c>
      <c r="P39" s="85">
        <v>10</v>
      </c>
      <c r="R3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9" s="86" t="e" vm="149">
        <f>IF(Character[[#This Row],[Name]]="Traveler","",IFERROR(INDEX(ImgDatabase!$I:$I,MATCH(Character[[#This Row],[NameHelper]],ImgDatabase!$E:$E,0)),""))</f>
        <v>#VALUE!</v>
      </c>
      <c r="U3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9" s="88" t="e" vm="151">
        <f>IF(Character[[#This Row],[Name]]="Traveler","",IFERROR(INDEX(ImgDatabase!$K:$K, MATCH(Character[[#This Row],[NameHelper]], ImgDatabase!$E:$E, 0)), ""))</f>
        <v>#VALUE!</v>
      </c>
      <c r="X3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3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3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39" s="95" t="e" vm="150">
        <f>IFERROR(INDEX(ImgDatabase!$J:$J, MATCH(Character[[#This Row],[NameHelper]], ImgDatabase!$E:$E, 0)), "")</f>
        <v>#VALUE!</v>
      </c>
      <c r="AC3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39" s="66" t="e" vm="152">
        <f>IFERROR(INDEX(ImgDatabase!$M:$M, MATCH(Character[[#This Row],[NameHelper]], ImgDatabase!$E:$E, 0)), "")</f>
        <v>#VALUE!</v>
      </c>
      <c r="AF3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39" s="66" t="e" vm="135">
        <f>IFERROR(INDEX(ImgDatabase!$N:$N, MATCH(Character[[#This Row],[NameHelper]], ImgDatabase!$E:$E, 0)), "")</f>
        <v>#VALUE!</v>
      </c>
      <c r="AI3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3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3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3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39" s="67" t="e" vm="54">
        <f>IFERROR(INDEX(ImgDatabase!$L:$L, MATCH(Character[[#This Row],[NameHelper]], ImgDatabase!$E:$E, 0)), "")</f>
        <v>#VALUE!</v>
      </c>
      <c r="AO3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3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3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3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3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3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39" s="73">
        <f t="shared" si="3"/>
        <v>55</v>
      </c>
      <c r="AV39" s="74">
        <f t="shared" si="4"/>
        <v>22</v>
      </c>
      <c r="AW39" s="75">
        <f t="shared" si="5"/>
        <v>6</v>
      </c>
      <c r="AY3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3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3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3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39" s="143">
        <f>SUM(Table40[[#This Row],[Ascension
Cost]:[Talent Cost
(Burst)]])</f>
        <v>3052500</v>
      </c>
      <c r="BE3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3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3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39" s="78">
        <f>SUM(Table53[[#This Row],[NA]:[Burst]])</f>
        <v>3</v>
      </c>
    </row>
    <row r="40" spans="1:60" ht="30" customHeight="1" x14ac:dyDescent="0.25">
      <c r="A40" s="79">
        <f>SUBTOTAL(3,$D$3:Character[[#This Row],[NameHelper]])</f>
        <v>38</v>
      </c>
      <c r="B40" s="80" t="e" vm="844">
        <f>IFERROR(INDEX(ImgDatabase!$D:$D, MATCH(Character[[#This Row],[NameHelper]], ImgDatabase!$E:$E, 0)), "")</f>
        <v>#VALUE!</v>
      </c>
      <c r="C40" s="81" t="s">
        <v>209</v>
      </c>
      <c r="D40" s="81" t="s">
        <v>209</v>
      </c>
      <c r="E40" s="53" t="e" vm="91">
        <f>IFERROR(INDEX(ImgDatabase!$G:$G, MATCH(Character[[#This Row],[NameHelper]], ImgDatabase!$E:$E, 0)), "")</f>
        <v>#VALUE!</v>
      </c>
      <c r="F40" s="53" t="e" vm="5">
        <f>IFERROR(INDEX(CharacterDetailsImg[Weapon Type], MATCH(Character[[#This Row],[NameHelper]], CharacterDetailsImg[Name], 0)), "")</f>
        <v>#VALUE!</v>
      </c>
      <c r="G40" s="82">
        <f>IFERROR(INDEX(CharacterDetailsImg[Released Version], MATCH(Character[[#This Row],[NameHelper]], CharacterDetailsImg[Name], 0)), "")</f>
        <v>1</v>
      </c>
      <c r="H40" s="51">
        <v>70</v>
      </c>
      <c r="I40" s="41">
        <v>5</v>
      </c>
      <c r="J40" s="41">
        <v>5</v>
      </c>
      <c r="K40" s="52">
        <v>6</v>
      </c>
      <c r="M40" s="83">
        <v>90</v>
      </c>
      <c r="N40" s="83">
        <v>10</v>
      </c>
      <c r="O40" s="84">
        <v>10</v>
      </c>
      <c r="P40" s="85">
        <v>10</v>
      </c>
      <c r="R4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252</v>
      </c>
      <c r="T40" s="86" t="e" vm="210">
        <f>IF(Character[[#This Row],[Name]]="Traveler","",IFERROR(INDEX(ImgDatabase!$I:$I,MATCH(Character[[#This Row],[NameHelper]],ImgDatabase!$E:$E,0)),""))</f>
        <v>#VALUE!</v>
      </c>
      <c r="U4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32</v>
      </c>
      <c r="W40" s="88" t="e" vm="212">
        <f>IF(Character[[#This Row],[Name]]="Traveler","",IFERROR(INDEX(ImgDatabase!$K:$K, MATCH(Character[[#This Row],[NameHelper]], ImgDatabase!$E:$E, 0)), ""))</f>
        <v>#VALUE!</v>
      </c>
      <c r="X4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18</v>
      </c>
      <c r="Z4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40" s="88" t="e" vm="211">
        <f>IFERROR(INDEX(ImgDatabase!$J:$J, MATCH(Character[[#This Row],[NameHelper]], ImgDatabase!$E:$E, 0)), "")</f>
        <v>#VALUE!</v>
      </c>
      <c r="AC4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0" s="86" t="e" vm="213">
        <f>IFERROR(INDEX(ImgDatabase!$M:$M, MATCH(Character[[#This Row],[NameHelper]], ImgDatabase!$E:$E, 0)), "")</f>
        <v>#VALUE!</v>
      </c>
      <c r="AF4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H40" s="86" t="e" vm="97">
        <f>IFERROR(INDEX(ImgDatabase!$N:$N, MATCH(Character[[#This Row],[NameHelper]], ImgDatabase!$E:$E, 0)), "")</f>
        <v>#VALUE!</v>
      </c>
      <c r="AI4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K4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0" s="53" t="e" vm="115">
        <f>IFERROR(INDEX(ImgDatabase!$L:$L, MATCH(Character[[#This Row],[NameHelper]], ImgDatabase!$E:$E, 0)), "")</f>
        <v>#VALUE!</v>
      </c>
      <c r="AO4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18</v>
      </c>
      <c r="AT4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40" s="92">
        <f t="shared" si="3"/>
        <v>129</v>
      </c>
      <c r="AV40" s="93">
        <f t="shared" si="4"/>
        <v>18</v>
      </c>
      <c r="AW40" s="94">
        <f t="shared" si="5"/>
        <v>0</v>
      </c>
      <c r="AY4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1227000</v>
      </c>
      <c r="AZ4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1567500</v>
      </c>
      <c r="BA4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1567500</v>
      </c>
      <c r="BB4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1530000</v>
      </c>
      <c r="BC40" s="140">
        <f>SUM(Table40[[#This Row],[Ascension
Cost]:[Talent Cost
(Burst)]])</f>
        <v>5892000</v>
      </c>
      <c r="BE4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0" s="78">
        <f>SUM(Table53[[#This Row],[NA]:[Burst]])</f>
        <v>3</v>
      </c>
    </row>
    <row r="41" spans="1:60" ht="30" customHeight="1" x14ac:dyDescent="0.25">
      <c r="A41" s="79">
        <f>SUBTOTAL(3,$D$3:Character[[#This Row],[NameHelper]])</f>
        <v>39</v>
      </c>
      <c r="B41" s="80" t="e" vm="845">
        <f>IFERROR(INDEX(ImgDatabase!$D:$D, MATCH(Character[[#This Row],[NameHelper]], ImgDatabase!$E:$E, 0)), "")</f>
        <v>#VALUE!</v>
      </c>
      <c r="C41" s="81" t="s">
        <v>218</v>
      </c>
      <c r="D41" s="81" t="s">
        <v>218</v>
      </c>
      <c r="E41" s="53" t="e" vm="28">
        <f>IFERROR(INDEX(ImgDatabase!$G:$G, MATCH(Character[[#This Row],[NameHelper]], ImgDatabase!$E:$E, 0)), "")</f>
        <v>#VALUE!</v>
      </c>
      <c r="F41" s="53" t="e" vm="5">
        <f>IFERROR(INDEX(CharacterDetailsImg[Weapon Type], MATCH(Character[[#This Row],[NameHelper]], CharacterDetailsImg[Name], 0)), "")</f>
        <v>#VALUE!</v>
      </c>
      <c r="G41" s="82">
        <f>IFERROR(INDEX(CharacterDetailsImg[Released Version], MATCH(Character[[#This Row],[NameHelper]], CharacterDetailsImg[Name], 0)), "")</f>
        <v>3.7</v>
      </c>
      <c r="H41" s="51">
        <v>21</v>
      </c>
      <c r="I41" s="41">
        <v>1</v>
      </c>
      <c r="J41" s="41">
        <v>1</v>
      </c>
      <c r="K41" s="52">
        <v>1</v>
      </c>
      <c r="M41" s="83">
        <v>90</v>
      </c>
      <c r="N41" s="83">
        <v>10</v>
      </c>
      <c r="O41" s="84">
        <v>10</v>
      </c>
      <c r="P41" s="85">
        <v>10</v>
      </c>
      <c r="R4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41" s="86" t="e" vm="225">
        <f>IF(Character[[#This Row],[Name]]="Traveler","",IFERROR(INDEX(ImgDatabase!$I:$I,MATCH(Character[[#This Row],[NameHelper]],ImgDatabase!$E:$E,0)),""))</f>
        <v>#VALUE!</v>
      </c>
      <c r="U4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1" s="88" t="e" vm="226">
        <f>IF(Character[[#This Row],[Name]]="Traveler","",IFERROR(INDEX(ImgDatabase!$K:$K, MATCH(Character[[#This Row],[NameHelper]], ImgDatabase!$E:$E, 0)), ""))</f>
        <v>#VALUE!</v>
      </c>
      <c r="X4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1" s="95" t="e" vm="93">
        <f>IFERROR(INDEX(ImgDatabase!$J:$J, MATCH(Character[[#This Row],[NameHelper]], ImgDatabase!$E:$E, 0)), "")</f>
        <v>#VALUE!</v>
      </c>
      <c r="AC4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1" s="66" t="e" vm="227">
        <f>IFERROR(INDEX(ImgDatabase!$M:$M, MATCH(Character[[#This Row],[NameHelper]], ImgDatabase!$E:$E, 0)), "")</f>
        <v>#VALUE!</v>
      </c>
      <c r="AF4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41" s="66" t="e" vm="34">
        <f>IFERROR(INDEX(ImgDatabase!$N:$N, MATCH(Character[[#This Row],[NameHelper]], ImgDatabase!$E:$E, 0)), "")</f>
        <v>#VALUE!</v>
      </c>
      <c r="AI4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4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4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1" s="67" t="e" vm="75">
        <f>IFERROR(INDEX(ImgDatabase!$L:$L, MATCH(Character[[#This Row],[NameHelper]], ImgDatabase!$E:$E, 0)), "")</f>
        <v>#VALUE!</v>
      </c>
      <c r="AO4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4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4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1" s="73">
        <f t="shared" si="3"/>
        <v>129</v>
      </c>
      <c r="AV41" s="74">
        <f t="shared" si="4"/>
        <v>96</v>
      </c>
      <c r="AW41" s="75">
        <f t="shared" si="5"/>
        <v>33</v>
      </c>
      <c r="AY4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4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1" s="143">
        <f>SUM(Table40[[#This Row],[Ascension
Cost]:[Talent Cost
(Burst)]])</f>
        <v>7003020</v>
      </c>
      <c r="BE4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1" s="78">
        <f>SUM(Table53[[#This Row],[NA]:[Burst]])</f>
        <v>3</v>
      </c>
    </row>
    <row r="42" spans="1:60" ht="30" customHeight="1" x14ac:dyDescent="0.25">
      <c r="A42" s="79">
        <f>SUBTOTAL(3,$D$3:Character[[#This Row],[NameHelper]])</f>
        <v>40</v>
      </c>
      <c r="B42" s="80" t="e" vm="846">
        <f>IFERROR(INDEX(ImgDatabase!$D:$D, MATCH(Character[[#This Row],[NameHelper]], ImgDatabase!$E:$E, 0)), "")</f>
        <v>#VALUE!</v>
      </c>
      <c r="C42" s="81" t="s">
        <v>519</v>
      </c>
      <c r="D42" s="81" t="s">
        <v>519</v>
      </c>
      <c r="E42" s="53" t="e" vm="50">
        <f>IFERROR(INDEX(ImgDatabase!$G:$G, MATCH(Character[[#This Row],[NameHelper]], ImgDatabase!$E:$E, 0)), "")</f>
        <v>#VALUE!</v>
      </c>
      <c r="F42" s="53" t="e" vm="552">
        <f>IFERROR(INDEX(CharacterDetailsImg[Weapon Type], MATCH(Character[[#This Row],[NameHelper]], CharacterDetailsImg[Name], 0)), "")</f>
        <v>#VALUE!</v>
      </c>
      <c r="G42" s="82">
        <f>IFERROR(INDEX(CharacterDetailsImg[Released Version], MATCH(Character[[#This Row],[NameHelper]], CharacterDetailsImg[Name], 0)), "")</f>
        <v>1</v>
      </c>
      <c r="H42" s="51">
        <v>0</v>
      </c>
      <c r="I42" s="41">
        <v>0</v>
      </c>
      <c r="J42" s="41">
        <v>0</v>
      </c>
      <c r="K42" s="52">
        <v>0</v>
      </c>
      <c r="M42" s="83">
        <v>90</v>
      </c>
      <c r="N42" s="83">
        <v>10</v>
      </c>
      <c r="O42" s="84">
        <v>10</v>
      </c>
      <c r="P42" s="85">
        <v>10</v>
      </c>
      <c r="R4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2" s="86" t="e" vm="51">
        <f>IF(Character[[#This Row],[Name]]="Traveler","",IFERROR(INDEX(ImgDatabase!$I:$I,MATCH(Character[[#This Row],[NameHelper]],ImgDatabase!$E:$E,0)),""))</f>
        <v>#VALUE!</v>
      </c>
      <c r="U4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2" s="88" t="e" vm="351">
        <f>IF(Character[[#This Row],[Name]]="Traveler","",IFERROR(INDEX(ImgDatabase!$K:$K, MATCH(Character[[#This Row],[NameHelper]], ImgDatabase!$E:$E, 0)), ""))</f>
        <v>#VALUE!</v>
      </c>
      <c r="X4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4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4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42" s="88" t="e" vm="211">
        <f>IFERROR(INDEX(ImgDatabase!$J:$J, MATCH(Character[[#This Row],[NameHelper]], ImgDatabase!$E:$E, 0)), "")</f>
        <v>#VALUE!</v>
      </c>
      <c r="AC4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42" s="86" t="e" vm="556">
        <f>IFERROR(INDEX(ImgDatabase!$M:$M, MATCH(Character[[#This Row],[NameHelper]], ImgDatabase!$E:$E, 0)), "")</f>
        <v>#VALUE!</v>
      </c>
      <c r="AF4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42" s="86" t="e" vm="56">
        <f>IFERROR(INDEX(ImgDatabase!$N:$N, MATCH(Character[[#This Row],[NameHelper]], ImgDatabase!$E:$E, 0)), "")</f>
        <v>#VALUE!</v>
      </c>
      <c r="AI4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4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4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2" s="53" t="e" vm="10">
        <f>IFERROR(INDEX(ImgDatabase!$L:$L, MATCH(Character[[#This Row],[NameHelper]], ImgDatabase!$E:$E, 0)), "")</f>
        <v>#VALUE!</v>
      </c>
      <c r="AO4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4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4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4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42" s="92">
        <f t="shared" si="3"/>
        <v>0</v>
      </c>
      <c r="AV42" s="93">
        <f t="shared" si="4"/>
        <v>0</v>
      </c>
      <c r="AW42" s="94">
        <f t="shared" si="5"/>
        <v>0</v>
      </c>
      <c r="AY4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4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4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4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42" s="140">
        <f>SUM(Table40[[#This Row],[Ascension
Cost]:[Talent Cost
(Burst)]])</f>
        <v>0</v>
      </c>
      <c r="BE4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4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4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42" s="78">
        <f>SUM(Table53[[#This Row],[NA]:[Burst]])</f>
        <v>0</v>
      </c>
    </row>
    <row r="43" spans="1:60" ht="30" customHeight="1" x14ac:dyDescent="0.25">
      <c r="A43" s="79">
        <f>SUBTOTAL(3,$D$3:Character[[#This Row],[NameHelper]])</f>
        <v>41</v>
      </c>
      <c r="B43" s="80" t="e" vm="847">
        <f>IFERROR(INDEX(ImgDatabase!$D:$D, MATCH(Character[[#This Row],[NameHelper]], ImgDatabase!$E:$E, 0)), "")</f>
        <v>#VALUE!</v>
      </c>
      <c r="C43" s="81" t="s">
        <v>697</v>
      </c>
      <c r="D43" s="81" t="s">
        <v>415</v>
      </c>
      <c r="E43" s="53" t="e" vm="91">
        <f>IFERROR(INDEX(ImgDatabase!$G:$G, MATCH(Character[[#This Row],[NameHelper]], ImgDatabase!$E:$E, 0)), "")</f>
        <v>#VALUE!</v>
      </c>
      <c r="F43" s="53" t="e" vm="348">
        <f>IFERROR(INDEX(CharacterDetailsImg[Weapon Type], MATCH(Character[[#This Row],[NameHelper]], CharacterDetailsImg[Name], 0)), "")</f>
        <v>#VALUE!</v>
      </c>
      <c r="G43" s="82">
        <f>IFERROR(INDEX(CharacterDetailsImg[Released Version], MATCH(Character[[#This Row],[NameHelper]], CharacterDetailsImg[Name], 0)), "")</f>
        <v>2.1</v>
      </c>
      <c r="H43" s="51">
        <v>21</v>
      </c>
      <c r="I43" s="41">
        <v>1</v>
      </c>
      <c r="J43" s="41">
        <v>1</v>
      </c>
      <c r="K43" s="52">
        <v>1</v>
      </c>
      <c r="M43" s="83">
        <v>90</v>
      </c>
      <c r="N43" s="83">
        <v>10</v>
      </c>
      <c r="O43" s="84">
        <v>10</v>
      </c>
      <c r="P43" s="85">
        <v>10</v>
      </c>
      <c r="R4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43" s="86" t="e" vm="424">
        <f>IF(Character[[#This Row],[Name]]="Traveler","",IFERROR(INDEX(ImgDatabase!$I:$I,MATCH(Character[[#This Row],[NameHelper]],ImgDatabase!$E:$E,0)),""))</f>
        <v>#VALUE!</v>
      </c>
      <c r="U4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3" s="88" t="e" vm="183">
        <f>IF(Character[[#This Row],[Name]]="Traveler","",IFERROR(INDEX(ImgDatabase!$K:$K, MATCH(Character[[#This Row],[NameHelper]], ImgDatabase!$E:$E, 0)), ""))</f>
        <v>#VALUE!</v>
      </c>
      <c r="X4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3" s="95" t="e" vm="425">
        <f>IFERROR(INDEX(ImgDatabase!$J:$J, MATCH(Character[[#This Row],[NameHelper]], ImgDatabase!$E:$E, 0)), "")</f>
        <v>#VALUE!</v>
      </c>
      <c r="AC4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3" s="66" t="e" vm="426">
        <f>IFERROR(INDEX(ImgDatabase!$M:$M, MATCH(Character[[#This Row],[NameHelper]], ImgDatabase!$E:$E, 0)), "")</f>
        <v>#VALUE!</v>
      </c>
      <c r="AF4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43" s="66" t="e" vm="97">
        <f>IFERROR(INDEX(ImgDatabase!$N:$N, MATCH(Character[[#This Row],[NameHelper]], ImgDatabase!$E:$E, 0)), "")</f>
        <v>#VALUE!</v>
      </c>
      <c r="AI4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4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4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3" s="67" t="e" vm="133">
        <f>IFERROR(INDEX(ImgDatabase!$L:$L, MATCH(Character[[#This Row],[NameHelper]], ImgDatabase!$E:$E, 0)), "")</f>
        <v>#VALUE!</v>
      </c>
      <c r="AO4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4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4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3" s="73">
        <f t="shared" si="3"/>
        <v>129</v>
      </c>
      <c r="AV43" s="74">
        <f t="shared" si="4"/>
        <v>96</v>
      </c>
      <c r="AW43" s="75">
        <f t="shared" si="5"/>
        <v>33</v>
      </c>
      <c r="AY4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4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3" s="143">
        <f>SUM(Table40[[#This Row],[Ascension
Cost]:[Talent Cost
(Burst)]])</f>
        <v>7003020</v>
      </c>
      <c r="BE4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3" s="78">
        <f>SUM(Table53[[#This Row],[NA]:[Burst]])</f>
        <v>3</v>
      </c>
    </row>
    <row r="44" spans="1:60" ht="30" customHeight="1" x14ac:dyDescent="0.25">
      <c r="A44" s="79">
        <f>SUBTOTAL(3,$D$3:Character[[#This Row],[NameHelper]])</f>
        <v>42</v>
      </c>
      <c r="B44" s="80" t="e" vm="848">
        <f>IFERROR(INDEX(ImgDatabase!$D:$D, MATCH(Character[[#This Row],[NameHelper]], ImgDatabase!$E:$E, 0)), "")</f>
        <v>#VALUE!</v>
      </c>
      <c r="C44" s="81" t="s">
        <v>698</v>
      </c>
      <c r="D44" s="81" t="s">
        <v>229</v>
      </c>
      <c r="E44" s="53" t="e" vm="91">
        <f>IFERROR(INDEX(ImgDatabase!$G:$G, MATCH(Character[[#This Row],[NameHelper]], ImgDatabase!$E:$E, 0)), "")</f>
        <v>#VALUE!</v>
      </c>
      <c r="F44" s="53" t="e" vm="5">
        <f>IFERROR(INDEX(CharacterDetailsImg[Weapon Type], MATCH(Character[[#This Row],[NameHelper]], CharacterDetailsImg[Name], 0)), "")</f>
        <v>#VALUE!</v>
      </c>
      <c r="G44" s="82">
        <f>IFERROR(INDEX(CharacterDetailsImg[Released Version], MATCH(Character[[#This Row],[NameHelper]], CharacterDetailsImg[Name], 0)), "")</f>
        <v>2.7</v>
      </c>
      <c r="H44" s="51">
        <v>90</v>
      </c>
      <c r="I44" s="41">
        <v>1</v>
      </c>
      <c r="J44" s="41">
        <v>9</v>
      </c>
      <c r="K44" s="52">
        <v>6</v>
      </c>
      <c r="M44" s="83">
        <v>90</v>
      </c>
      <c r="N44" s="83">
        <v>10</v>
      </c>
      <c r="O44" s="84">
        <v>10</v>
      </c>
      <c r="P44" s="85">
        <v>10</v>
      </c>
      <c r="R4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4" s="86" t="e" vm="239">
        <f>IF(Character[[#This Row],[Name]]="Traveler","",IFERROR(INDEX(ImgDatabase!$I:$I,MATCH(Character[[#This Row],[NameHelper]],ImgDatabase!$E:$E,0)),""))</f>
        <v>#VALUE!</v>
      </c>
      <c r="U4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4" s="88" t="e" vm="183">
        <f>IF(Character[[#This Row],[Name]]="Traveler","",IFERROR(INDEX(ImgDatabase!$K:$K, MATCH(Character[[#This Row],[NameHelper]], ImgDatabase!$E:$E, 0)), ""))</f>
        <v>#VALUE!</v>
      </c>
      <c r="X4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92</v>
      </c>
      <c r="Y4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4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44" s="88" t="e" vm="240">
        <f>IFERROR(INDEX(ImgDatabase!$J:$J, MATCH(Character[[#This Row],[NameHelper]], ImgDatabase!$E:$E, 0)), "")</f>
        <v>#VALUE!</v>
      </c>
      <c r="AC4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14</v>
      </c>
      <c r="AE44" s="86" t="e" vm="241">
        <f>IFERROR(INDEX(ImgDatabase!$M:$M, MATCH(Character[[#This Row],[NameHelper]], ImgDatabase!$E:$E, 0)), "")</f>
        <v>#VALUE!</v>
      </c>
      <c r="AF4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44" s="86" t="e" vm="97">
        <f>IFERROR(INDEX(ImgDatabase!$N:$N, MATCH(Character[[#This Row],[NameHelper]], ImgDatabase!$E:$E, 0)), "")</f>
        <v>#VALUE!</v>
      </c>
      <c r="AI4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4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4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4" s="53" t="e" vm="75">
        <f>IFERROR(INDEX(ImgDatabase!$L:$L, MATCH(Character[[#This Row],[NameHelper]], ImgDatabase!$E:$E, 0)), "")</f>
        <v>#VALUE!</v>
      </c>
      <c r="AO4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4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74</v>
      </c>
      <c r="AS4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4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44" s="92">
        <f t="shared" si="3"/>
        <v>74</v>
      </c>
      <c r="AV44" s="93">
        <f t="shared" si="4"/>
        <v>22</v>
      </c>
      <c r="AW44" s="94">
        <f t="shared" si="5"/>
        <v>6</v>
      </c>
      <c r="AY4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4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4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1530000</v>
      </c>
      <c r="BC44" s="140">
        <f>SUM(Table40[[#This Row],[Ascension
Cost]:[Talent Cost
(Burst)]])</f>
        <v>3882500</v>
      </c>
      <c r="BE4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4" s="78">
        <f>SUM(Table53[[#This Row],[NA]:[Burst]])</f>
        <v>3</v>
      </c>
    </row>
    <row r="45" spans="1:60" ht="30" customHeight="1" x14ac:dyDescent="0.25">
      <c r="A45" s="79">
        <f>SUBTOTAL(3,$D$3:Character[[#This Row],[NameHelper]])</f>
        <v>43</v>
      </c>
      <c r="B45" s="80" t="e" vm="849">
        <f>IFERROR(INDEX(ImgDatabase!$D:$D, MATCH(Character[[#This Row],[NameHelper]], ImgDatabase!$E:$E, 0)), "")</f>
        <v>#VALUE!</v>
      </c>
      <c r="C45" s="81" t="s">
        <v>238</v>
      </c>
      <c r="D45" s="81" t="s">
        <v>238</v>
      </c>
      <c r="E45" s="53" t="e" vm="165">
        <f>IFERROR(INDEX(ImgDatabase!$G:$G, MATCH(Character[[#This Row],[NameHelper]], ImgDatabase!$E:$E, 0)), "")</f>
        <v>#VALUE!</v>
      </c>
      <c r="F45" s="53" t="e" vm="5">
        <f>IFERROR(INDEX(CharacterDetailsImg[Weapon Type], MATCH(Character[[#This Row],[NameHelper]], CharacterDetailsImg[Name], 0)), "")</f>
        <v>#VALUE!</v>
      </c>
      <c r="G45" s="82">
        <f>IFERROR(INDEX(CharacterDetailsImg[Released Version], MATCH(Character[[#This Row],[NameHelper]], CharacterDetailsImg[Name], 0)), "")</f>
        <v>3.2</v>
      </c>
      <c r="H45" s="51">
        <v>90</v>
      </c>
      <c r="I45" s="41">
        <v>1</v>
      </c>
      <c r="J45" s="41">
        <v>9</v>
      </c>
      <c r="K45" s="52">
        <v>7</v>
      </c>
      <c r="M45" s="83">
        <v>90</v>
      </c>
      <c r="N45" s="83">
        <v>10</v>
      </c>
      <c r="O45" s="84">
        <v>10</v>
      </c>
      <c r="P45" s="85">
        <v>10</v>
      </c>
      <c r="R4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5" s="86" t="e" vm="250">
        <f>IF(Character[[#This Row],[Name]]="Traveler","",IFERROR(INDEX(ImgDatabase!$I:$I,MATCH(Character[[#This Row],[NameHelper]],ImgDatabase!$E:$E,0)),""))</f>
        <v>#VALUE!</v>
      </c>
      <c r="U4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5" s="88" t="e" vm="31">
        <f>IF(Character[[#This Row],[Name]]="Traveler","",IFERROR(INDEX(ImgDatabase!$K:$K, MATCH(Character[[#This Row],[NameHelper]], ImgDatabase!$E:$E, 0)), ""))</f>
        <v>#VALUE!</v>
      </c>
      <c r="X4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88</v>
      </c>
      <c r="Y4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4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45" s="95" t="e" vm="30">
        <f>IFERROR(INDEX(ImgDatabase!$J:$J, MATCH(Character[[#This Row],[NameHelper]], ImgDatabase!$E:$E, 0)), "")</f>
        <v>#VALUE!</v>
      </c>
      <c r="AC4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13</v>
      </c>
      <c r="AE45" s="66" t="e" vm="251">
        <f>IFERROR(INDEX(ImgDatabase!$M:$M, MATCH(Character[[#This Row],[NameHelper]], ImgDatabase!$E:$E, 0)), "")</f>
        <v>#VALUE!</v>
      </c>
      <c r="AF4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45" s="66" t="e" vm="169">
        <f>IFERROR(INDEX(ImgDatabase!$N:$N, MATCH(Character[[#This Row],[NameHelper]], ImgDatabase!$E:$E, 0)), "")</f>
        <v>#VALUE!</v>
      </c>
      <c r="AI4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4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4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5" s="67" t="e" vm="10">
        <f>IFERROR(INDEX(ImgDatabase!$L:$L, MATCH(Character[[#This Row],[NameHelper]], ImgDatabase!$E:$E, 0)), "")</f>
        <v>#VALUE!</v>
      </c>
      <c r="AO4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4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70</v>
      </c>
      <c r="AS4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4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45" s="73">
        <f t="shared" si="3"/>
        <v>70</v>
      </c>
      <c r="AV45" s="74">
        <f t="shared" si="4"/>
        <v>22</v>
      </c>
      <c r="AW45" s="75">
        <f t="shared" si="5"/>
        <v>6</v>
      </c>
      <c r="AY4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4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4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1410000</v>
      </c>
      <c r="BC45" s="143">
        <f>SUM(Table40[[#This Row],[Ascension
Cost]:[Talent Cost
(Burst)]])</f>
        <v>3762500</v>
      </c>
      <c r="BE4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5" s="78">
        <f>SUM(Table53[[#This Row],[NA]:[Burst]])</f>
        <v>3</v>
      </c>
    </row>
    <row r="46" spans="1:60" ht="30" customHeight="1" x14ac:dyDescent="0.25">
      <c r="A46" s="79">
        <f>SUBTOTAL(3,$D$3:Character[[#This Row],[NameHelper]])</f>
        <v>44</v>
      </c>
      <c r="B46" s="80" t="e" vm="850">
        <f>IFERROR(INDEX(ImgDatabase!$D:$D, MATCH(Character[[#This Row],[NameHelper]], ImgDatabase!$E:$E, 0)), "")</f>
        <v>#VALUE!</v>
      </c>
      <c r="C46" s="81" t="s">
        <v>521</v>
      </c>
      <c r="D46" s="81" t="s">
        <v>521</v>
      </c>
      <c r="E46" s="53" t="e" vm="91">
        <f>IFERROR(INDEX(ImgDatabase!$G:$G, MATCH(Character[[#This Row],[NameHelper]], ImgDatabase!$E:$E, 0)), "")</f>
        <v>#VALUE!</v>
      </c>
      <c r="F46" s="53" t="e" vm="552">
        <f>IFERROR(INDEX(CharacterDetailsImg[Weapon Type], MATCH(Character[[#This Row],[NameHelper]], CharacterDetailsImg[Name], 0)), "")</f>
        <v>#VALUE!</v>
      </c>
      <c r="G46" s="82">
        <f>IFERROR(INDEX(CharacterDetailsImg[Released Version], MATCH(Character[[#This Row],[NameHelper]], CharacterDetailsImg[Name], 0)), "")</f>
        <v>1</v>
      </c>
      <c r="H46" s="51">
        <v>61</v>
      </c>
      <c r="I46" s="41">
        <v>1</v>
      </c>
      <c r="J46" s="41">
        <v>1</v>
      </c>
      <c r="K46" s="52">
        <v>1</v>
      </c>
      <c r="M46" s="83">
        <v>90</v>
      </c>
      <c r="N46" s="83">
        <v>10</v>
      </c>
      <c r="O46" s="84">
        <v>10</v>
      </c>
      <c r="P46" s="85">
        <v>10</v>
      </c>
      <c r="R4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307</v>
      </c>
      <c r="T46" s="86" t="e" vm="210">
        <f>IF(Character[[#This Row],[Name]]="Traveler","",IFERROR(INDEX(ImgDatabase!$I:$I,MATCH(Character[[#This Row],[NameHelper]],ImgDatabase!$E:$E,0)),""))</f>
        <v>#VALUE!</v>
      </c>
      <c r="U4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32</v>
      </c>
      <c r="W46" s="88" t="e" vm="9">
        <f>IF(Character[[#This Row],[Name]]="Traveler","",IFERROR(INDEX(ImgDatabase!$K:$K, MATCH(Character[[#This Row],[NameHelper]], ImgDatabase!$E:$E, 0)), ""))</f>
        <v>#VALUE!</v>
      </c>
      <c r="X4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6" s="88" t="e" vm="531">
        <f>IFERROR(INDEX(ImgDatabase!$J:$J, MATCH(Character[[#This Row],[NameHelper]], ImgDatabase!$E:$E, 0)), "")</f>
        <v>#VALUE!</v>
      </c>
      <c r="AC4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6" s="86" t="e" vm="532">
        <f>IFERROR(INDEX(ImgDatabase!$M:$M, MATCH(Character[[#This Row],[NameHelper]], ImgDatabase!$E:$E, 0)), "")</f>
        <v>#VALUE!</v>
      </c>
      <c r="AF4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H46" s="86" t="e" vm="97">
        <f>IFERROR(INDEX(ImgDatabase!$N:$N, MATCH(Character[[#This Row],[NameHelper]], ImgDatabase!$E:$E, 0)), "")</f>
        <v>#VALUE!</v>
      </c>
      <c r="AI4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K4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6" s="53" t="e" vm="462">
        <f>IFERROR(INDEX(ImgDatabase!$L:$L, MATCH(Character[[#This Row],[NameHelper]], ImgDatabase!$E:$E, 0)), "")</f>
        <v>#VALUE!</v>
      </c>
      <c r="AO4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6" s="92">
        <f t="shared" si="3"/>
        <v>129</v>
      </c>
      <c r="AV46" s="93">
        <f t="shared" si="4"/>
        <v>66</v>
      </c>
      <c r="AW46" s="94">
        <f t="shared" si="5"/>
        <v>18</v>
      </c>
      <c r="AY4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1446010</v>
      </c>
      <c r="AZ4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6" s="140">
        <f>SUM(Table40[[#This Row],[Ascension
Cost]:[Talent Cost
(Burst)]])</f>
        <v>6403510</v>
      </c>
      <c r="BE4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6" s="78">
        <f>SUM(Table53[[#This Row],[NA]:[Burst]])</f>
        <v>3</v>
      </c>
    </row>
    <row r="47" spans="1:60" ht="30" customHeight="1" x14ac:dyDescent="0.25">
      <c r="A47" s="79">
        <f>SUBTOTAL(3,$D$3:Character[[#This Row],[NameHelper]])</f>
        <v>45</v>
      </c>
      <c r="B47" s="80" t="e" vm="851">
        <f>IFERROR(INDEX(ImgDatabase!$D:$D, MATCH(Character[[#This Row],[NameHelper]], ImgDatabase!$E:$E, 0)), "")</f>
        <v>#VALUE!</v>
      </c>
      <c r="C47" s="81" t="s">
        <v>247</v>
      </c>
      <c r="D47" s="81" t="s">
        <v>247</v>
      </c>
      <c r="E47" s="53" t="e" vm="131">
        <f>IFERROR(INDEX(ImgDatabase!$G:$G, MATCH(Character[[#This Row],[NameHelper]], ImgDatabase!$E:$E, 0)), "")</f>
        <v>#VALUE!</v>
      </c>
      <c r="F47" s="53" t="e" vm="5">
        <f>IFERROR(INDEX(CharacterDetailsImg[Weapon Type], MATCH(Character[[#This Row],[NameHelper]], CharacterDetailsImg[Name], 0)), "")</f>
        <v>#VALUE!</v>
      </c>
      <c r="G47" s="82">
        <f>IFERROR(INDEX(CharacterDetailsImg[Released Version], MATCH(Character[[#This Row],[NameHelper]], CharacterDetailsImg[Name], 0)), "")</f>
        <v>4</v>
      </c>
      <c r="H47" s="51">
        <v>21</v>
      </c>
      <c r="I47" s="41">
        <v>1</v>
      </c>
      <c r="J47" s="41">
        <v>1</v>
      </c>
      <c r="K47" s="52">
        <v>1</v>
      </c>
      <c r="M47" s="83">
        <v>90</v>
      </c>
      <c r="N47" s="83">
        <v>10</v>
      </c>
      <c r="O47" s="84">
        <v>10</v>
      </c>
      <c r="P47" s="85">
        <v>10</v>
      </c>
      <c r="R4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47" s="86" t="e" vm="72">
        <f>IF(Character[[#This Row],[Name]]="Traveler","",IFERROR(INDEX(ImgDatabase!$I:$I,MATCH(Character[[#This Row],[NameHelper]],ImgDatabase!$E:$E,0)),""))</f>
        <v>#VALUE!</v>
      </c>
      <c r="U4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7" s="88" t="e" vm="260">
        <f>IF(Character[[#This Row],[Name]]="Traveler","",IFERROR(INDEX(ImgDatabase!$K:$K, MATCH(Character[[#This Row],[NameHelper]], ImgDatabase!$E:$E, 0)), ""))</f>
        <v>#VALUE!</v>
      </c>
      <c r="X4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7" s="95" t="e" vm="93">
        <f>IFERROR(INDEX(ImgDatabase!$J:$J, MATCH(Character[[#This Row],[NameHelper]], ImgDatabase!$E:$E, 0)), "")</f>
        <v>#VALUE!</v>
      </c>
      <c r="AC4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7" s="66" t="e" vm="262">
        <f>IFERROR(INDEX(ImgDatabase!$M:$M, MATCH(Character[[#This Row],[NameHelper]], ImgDatabase!$E:$E, 0)), "")</f>
        <v>#VALUE!</v>
      </c>
      <c r="AF4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47" s="66" t="e" vm="135">
        <f>IFERROR(INDEX(ImgDatabase!$N:$N, MATCH(Character[[#This Row],[NameHelper]], ImgDatabase!$E:$E, 0)), "")</f>
        <v>#VALUE!</v>
      </c>
      <c r="AI4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4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4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7" s="67" t="e" vm="261">
        <f>IFERROR(INDEX(ImgDatabase!$L:$L, MATCH(Character[[#This Row],[NameHelper]], ImgDatabase!$E:$E, 0)), "")</f>
        <v>#VALUE!</v>
      </c>
      <c r="AO4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4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4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7" s="73">
        <f t="shared" si="3"/>
        <v>129</v>
      </c>
      <c r="AV47" s="74">
        <f t="shared" si="4"/>
        <v>96</v>
      </c>
      <c r="AW47" s="75">
        <f t="shared" si="5"/>
        <v>33</v>
      </c>
      <c r="AY4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4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7" s="143">
        <f>SUM(Table40[[#This Row],[Ascension
Cost]:[Talent Cost
(Burst)]])</f>
        <v>7003020</v>
      </c>
      <c r="BE4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7" s="78">
        <f>SUM(Table53[[#This Row],[NA]:[Burst]])</f>
        <v>3</v>
      </c>
    </row>
    <row r="48" spans="1:60" ht="30" customHeight="1" x14ac:dyDescent="0.25">
      <c r="A48" s="79">
        <f>SUBTOTAL(3,$D$3:Character[[#This Row],[NameHelper]])</f>
        <v>46</v>
      </c>
      <c r="B48" s="80" t="e" vm="852">
        <f>IFERROR(INDEX(ImgDatabase!$D:$D, MATCH(Character[[#This Row],[NameHelper]], ImgDatabase!$E:$E, 0)), "")</f>
        <v>#VALUE!</v>
      </c>
      <c r="C48" s="81" t="s">
        <v>421</v>
      </c>
      <c r="D48" s="81" t="s">
        <v>421</v>
      </c>
      <c r="E48" s="53" t="e" vm="50">
        <f>IFERROR(INDEX(ImgDatabase!$G:$G, MATCH(Character[[#This Row],[NameHelper]], ImgDatabase!$E:$E, 0)), "")</f>
        <v>#VALUE!</v>
      </c>
      <c r="F48" s="53" t="e" vm="348">
        <f>IFERROR(INDEX(CharacterDetailsImg[Weapon Type], MATCH(Character[[#This Row],[NameHelper]], CharacterDetailsImg[Name], 0)), "")</f>
        <v>#VALUE!</v>
      </c>
      <c r="G48" s="82">
        <f>IFERROR(INDEX(CharacterDetailsImg[Released Version], MATCH(Character[[#This Row],[NameHelper]], CharacterDetailsImg[Name], 0)), "")</f>
        <v>4</v>
      </c>
      <c r="H48" s="51">
        <v>0</v>
      </c>
      <c r="I48" s="41">
        <v>0</v>
      </c>
      <c r="J48" s="41">
        <v>0</v>
      </c>
      <c r="K48" s="52">
        <v>0</v>
      </c>
      <c r="M48" s="83">
        <v>90</v>
      </c>
      <c r="N48" s="83">
        <v>10</v>
      </c>
      <c r="O48" s="84">
        <v>10</v>
      </c>
      <c r="P48" s="85">
        <v>10</v>
      </c>
      <c r="R4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8" s="86" t="e" vm="432">
        <f>IF(Character[[#This Row],[Name]]="Traveler","",IFERROR(INDEX(ImgDatabase!$I:$I,MATCH(Character[[#This Row],[NameHelper]],ImgDatabase!$E:$E,0)),""))</f>
        <v>#VALUE!</v>
      </c>
      <c r="U4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8" s="88" t="e" vm="434">
        <f>IF(Character[[#This Row],[Name]]="Traveler","",IFERROR(INDEX(ImgDatabase!$K:$K, MATCH(Character[[#This Row],[NameHelper]], ImgDatabase!$E:$E, 0)), ""))</f>
        <v>#VALUE!</v>
      </c>
      <c r="X4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4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4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48" s="88" t="e" vm="433">
        <f>IFERROR(INDEX(ImgDatabase!$J:$J, MATCH(Character[[#This Row],[NameHelper]], ImgDatabase!$E:$E, 0)), "")</f>
        <v>#VALUE!</v>
      </c>
      <c r="AC4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48" s="86" t="e" vm="436">
        <f>IFERROR(INDEX(ImgDatabase!$M:$M, MATCH(Character[[#This Row],[NameHelper]], ImgDatabase!$E:$E, 0)), "")</f>
        <v>#VALUE!</v>
      </c>
      <c r="AF4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48" s="86" t="e" vm="56">
        <f>IFERROR(INDEX(ImgDatabase!$N:$N, MATCH(Character[[#This Row],[NameHelper]], ImgDatabase!$E:$E, 0)), "")</f>
        <v>#VALUE!</v>
      </c>
      <c r="AI4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4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4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8" s="53" t="e" vm="435">
        <f>IFERROR(INDEX(ImgDatabase!$L:$L, MATCH(Character[[#This Row],[NameHelper]], ImgDatabase!$E:$E, 0)), "")</f>
        <v>#VALUE!</v>
      </c>
      <c r="AO4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4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4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4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4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48" s="92">
        <f t="shared" si="3"/>
        <v>0</v>
      </c>
      <c r="AV48" s="93">
        <f t="shared" si="4"/>
        <v>0</v>
      </c>
      <c r="AW48" s="94">
        <f t="shared" si="5"/>
        <v>0</v>
      </c>
      <c r="AY4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4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4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4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48" s="140">
        <f>SUM(Table40[[#This Row],[Ascension
Cost]:[Talent Cost
(Burst)]])</f>
        <v>0</v>
      </c>
      <c r="BE4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4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4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48" s="78">
        <f>SUM(Table53[[#This Row],[NA]:[Burst]])</f>
        <v>0</v>
      </c>
    </row>
    <row r="49" spans="1:60" ht="30" customHeight="1" x14ac:dyDescent="0.25">
      <c r="A49" s="79">
        <f>SUBTOTAL(3,$D$3:Character[[#This Row],[NameHelper]])</f>
        <v>47</v>
      </c>
      <c r="B49" s="80" t="e" vm="853">
        <f>IFERROR(INDEX(ImgDatabase!$D:$D, MATCH(Character[[#This Row],[NameHelper]], ImgDatabase!$E:$E, 0)), "")</f>
        <v>#VALUE!</v>
      </c>
      <c r="C49" s="81" t="s">
        <v>555</v>
      </c>
      <c r="D49" s="81" t="s">
        <v>555</v>
      </c>
      <c r="E49" s="53" t="e" vm="165">
        <f>IFERROR(INDEX(ImgDatabase!$G:$G, MATCH(Character[[#This Row],[NameHelper]], ImgDatabase!$E:$E, 0)), "")</f>
        <v>#VALUE!</v>
      </c>
      <c r="F49" s="53" t="e" vm="546">
        <f>IFERROR(INDEX(CharacterDetailsImg[Weapon Type], MATCH(Character[[#This Row],[NameHelper]], CharacterDetailsImg[Name], 0)), "")</f>
        <v>#VALUE!</v>
      </c>
      <c r="G49" s="82">
        <f>IFERROR(INDEX(CharacterDetailsImg[Released Version], MATCH(Character[[#This Row],[NameHelper]], CharacterDetailsImg[Name], 0)), "")</f>
        <v>3.5</v>
      </c>
      <c r="H49" s="51">
        <v>60</v>
      </c>
      <c r="I49" s="41">
        <v>1</v>
      </c>
      <c r="J49" s="41">
        <v>1</v>
      </c>
      <c r="K49" s="52">
        <v>1</v>
      </c>
      <c r="M49" s="83">
        <v>90</v>
      </c>
      <c r="N49" s="83">
        <v>10</v>
      </c>
      <c r="O49" s="84">
        <v>10</v>
      </c>
      <c r="P49" s="85">
        <v>10</v>
      </c>
      <c r="R4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312</v>
      </c>
      <c r="T49" s="86" t="e" vm="29">
        <f>IF(Character[[#This Row],[Name]]="Traveler","",IFERROR(INDEX(ImgDatabase!$I:$I,MATCH(Character[[#This Row],[NameHelper]],ImgDatabase!$E:$E,0)),""))</f>
        <v>#VALUE!</v>
      </c>
      <c r="U4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49" s="88" t="e" vm="9">
        <f>IF(Character[[#This Row],[Name]]="Traveler","",IFERROR(INDEX(ImgDatabase!$K:$K, MATCH(Character[[#This Row],[NameHelper]], ImgDatabase!$E:$E, 0)), ""))</f>
        <v>#VALUE!</v>
      </c>
      <c r="X4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4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4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49" s="95" t="e" vm="30">
        <f>IFERROR(INDEX(ImgDatabase!$J:$J, MATCH(Character[[#This Row],[NameHelper]], ImgDatabase!$E:$E, 0)), "")</f>
        <v>#VALUE!</v>
      </c>
      <c r="AC4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49" s="66" t="e" vm="536">
        <f>IFERROR(INDEX(ImgDatabase!$M:$M, MATCH(Character[[#This Row],[NameHelper]], ImgDatabase!$E:$E, 0)), "")</f>
        <v>#VALUE!</v>
      </c>
      <c r="AF4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H49" s="66" t="e" vm="169">
        <f>IFERROR(INDEX(ImgDatabase!$N:$N, MATCH(Character[[#This Row],[NameHelper]], ImgDatabase!$E:$E, 0)), "")</f>
        <v>#VALUE!</v>
      </c>
      <c r="AI4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4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4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4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49" s="67" t="e" vm="435">
        <f>IFERROR(INDEX(ImgDatabase!$L:$L, MATCH(Character[[#This Row],[NameHelper]], ImgDatabase!$E:$E, 0)), "")</f>
        <v>#VALUE!</v>
      </c>
      <c r="AO4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4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AQ4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4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4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4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49" s="73">
        <f t="shared" si="3"/>
        <v>129</v>
      </c>
      <c r="AV49" s="74">
        <f t="shared" si="4"/>
        <v>84</v>
      </c>
      <c r="AW49" s="75">
        <f t="shared" si="5"/>
        <v>18</v>
      </c>
      <c r="AY4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1546185</v>
      </c>
      <c r="AZ4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4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4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49" s="143">
        <f>SUM(Table40[[#This Row],[Ascension
Cost]:[Talent Cost
(Burst)]])</f>
        <v>6503685</v>
      </c>
      <c r="BE4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4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4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49" s="78">
        <f>SUM(Table53[[#This Row],[NA]:[Burst]])</f>
        <v>3</v>
      </c>
    </row>
    <row r="50" spans="1:60" ht="30" customHeight="1" x14ac:dyDescent="0.25">
      <c r="A50" s="79">
        <f>SUBTOTAL(3,$D$3:Character[[#This Row],[NameHelper]])</f>
        <v>48</v>
      </c>
      <c r="B50" s="80" t="e" vm="854">
        <f>IFERROR(INDEX(ImgDatabase!$D:$D, MATCH(Character[[#This Row],[NameHelper]], ImgDatabase!$E:$E, 0)), "")</f>
        <v>#VALUE!</v>
      </c>
      <c r="C50" s="81" t="s">
        <v>523</v>
      </c>
      <c r="D50" s="81" t="s">
        <v>523</v>
      </c>
      <c r="E50" s="53" t="e" vm="112">
        <f>IFERROR(INDEX(ImgDatabase!$G:$G, MATCH(Character[[#This Row],[NameHelper]], ImgDatabase!$E:$E, 0)), "")</f>
        <v>#VALUE!</v>
      </c>
      <c r="F50" s="53" t="e" vm="552">
        <f>IFERROR(INDEX(CharacterDetailsImg[Weapon Type], MATCH(Character[[#This Row],[NameHelper]], CharacterDetailsImg[Name], 0)), "")</f>
        <v>#VALUE!</v>
      </c>
      <c r="G50" s="82">
        <f>IFERROR(INDEX(CharacterDetailsImg[Released Version], MATCH(Character[[#This Row],[NameHelper]], CharacterDetailsImg[Name], 0)), "")</f>
        <v>1</v>
      </c>
      <c r="H50" s="51">
        <v>81</v>
      </c>
      <c r="I50" s="41">
        <v>1</v>
      </c>
      <c r="J50" s="41">
        <v>1</v>
      </c>
      <c r="K50" s="52">
        <v>10</v>
      </c>
      <c r="M50" s="83">
        <v>90</v>
      </c>
      <c r="N50" s="83">
        <v>10</v>
      </c>
      <c r="O50" s="84">
        <v>10</v>
      </c>
      <c r="P50" s="85">
        <v>10</v>
      </c>
      <c r="R5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50" s="86" t="e" vm="337">
        <f>IF(Character[[#This Row],[Name]]="Traveler","",IFERROR(INDEX(ImgDatabase!$I:$I,MATCH(Character[[#This Row],[NameHelper]],ImgDatabase!$E:$E,0)),""))</f>
        <v>#VALUE!</v>
      </c>
      <c r="U5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0" s="88" t="e" vm="53">
        <f>IF(Character[[#This Row],[Name]]="Traveler","",IFERROR(INDEX(ImgDatabase!$K:$K, MATCH(Character[[#This Row],[NameHelper]], ImgDatabase!$E:$E, 0)), ""))</f>
        <v>#VALUE!</v>
      </c>
      <c r="X5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76</v>
      </c>
      <c r="Y5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42</v>
      </c>
      <c r="Z5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6</v>
      </c>
      <c r="AB50" s="88" t="e" vm="211">
        <f>IFERROR(INDEX(ImgDatabase!$J:$J, MATCH(Character[[#This Row],[NameHelper]], ImgDatabase!$E:$E, 0)), "")</f>
        <v>#VALUE!</v>
      </c>
      <c r="AC5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12</v>
      </c>
      <c r="AE50" s="86" t="e" vm="556">
        <f>IFERROR(INDEX(ImgDatabase!$M:$M, MATCH(Character[[#This Row],[NameHelper]], ImgDatabase!$E:$E, 0)), "")</f>
        <v>#VALUE!</v>
      </c>
      <c r="AF5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0" s="86" t="e" vm="117">
        <f>IFERROR(INDEX(ImgDatabase!$N:$N, MATCH(Character[[#This Row],[NameHelper]], ImgDatabase!$E:$E, 0)), "")</f>
        <v>#VALUE!</v>
      </c>
      <c r="AI5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0" s="53" t="e" vm="115">
        <f>IFERROR(INDEX(ImgDatabase!$L:$L, MATCH(Character[[#This Row],[NameHelper]], ImgDatabase!$E:$E, 0)), "")</f>
        <v>#VALUE!</v>
      </c>
      <c r="AO5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62</v>
      </c>
      <c r="AS5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44</v>
      </c>
      <c r="AT5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12</v>
      </c>
      <c r="AU50" s="92">
        <f t="shared" si="3"/>
        <v>62</v>
      </c>
      <c r="AV50" s="93">
        <f t="shared" si="4"/>
        <v>44</v>
      </c>
      <c r="AW50" s="94">
        <f t="shared" si="5"/>
        <v>12</v>
      </c>
      <c r="AY5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5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5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5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0" s="140">
        <f>SUM(Table40[[#This Row],[Ascension
Cost]:[Talent Cost
(Burst)]])</f>
        <v>3952990</v>
      </c>
      <c r="BE5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0" s="78">
        <f>SUM(Table53[[#This Row],[NA]:[Burst]])</f>
        <v>2</v>
      </c>
    </row>
    <row r="51" spans="1:60" ht="30" customHeight="1" x14ac:dyDescent="0.25">
      <c r="A51" s="79">
        <f>SUBTOTAL(3,$D$3:Character[[#This Row],[NameHelper]])</f>
        <v>49</v>
      </c>
      <c r="B51" s="80" t="e" vm="855">
        <f>IFERROR(INDEX(ImgDatabase!$D:$D, MATCH(Character[[#This Row],[NameHelper]], ImgDatabase!$E:$E, 0)), "")</f>
        <v>#VALUE!</v>
      </c>
      <c r="C51" s="81" t="s">
        <v>525</v>
      </c>
      <c r="D51" s="81" t="s">
        <v>525</v>
      </c>
      <c r="E51" s="53" t="e" vm="28">
        <f>IFERROR(INDEX(ImgDatabase!$G:$G, MATCH(Character[[#This Row],[NameHelper]], ImgDatabase!$E:$E, 0)), "")</f>
        <v>#VALUE!</v>
      </c>
      <c r="F51" s="53" t="e" vm="552">
        <f>IFERROR(INDEX(CharacterDetailsImg[Weapon Type], MATCH(Character[[#This Row],[NameHelper]], CharacterDetailsImg[Name], 0)), "")</f>
        <v>#VALUE!</v>
      </c>
      <c r="G51" s="82">
        <f>IFERROR(INDEX(CharacterDetailsImg[Released Version], MATCH(Character[[#This Row],[NameHelper]], CharacterDetailsImg[Name], 0)), "")</f>
        <v>3.2</v>
      </c>
      <c r="H51" s="51">
        <v>90</v>
      </c>
      <c r="I51" s="41">
        <v>6</v>
      </c>
      <c r="J51" s="41">
        <v>10</v>
      </c>
      <c r="K51" s="52">
        <v>10</v>
      </c>
      <c r="M51" s="83">
        <v>90</v>
      </c>
      <c r="N51" s="83">
        <v>10</v>
      </c>
      <c r="O51" s="84">
        <v>10</v>
      </c>
      <c r="P51" s="85">
        <v>10</v>
      </c>
      <c r="R5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1" s="86" t="e" vm="522">
        <f>IF(Character[[#This Row],[Name]]="Traveler","",IFERROR(INDEX(ImgDatabase!$I:$I,MATCH(Character[[#This Row],[NameHelper]],ImgDatabase!$E:$E,0)),""))</f>
        <v>#VALUE!</v>
      </c>
      <c r="U5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1" s="88" t="e" vm="31">
        <f>IF(Character[[#This Row],[Name]]="Traveler","",IFERROR(INDEX(ImgDatabase!$K:$K, MATCH(Character[[#This Row],[NameHelper]], ImgDatabase!$E:$E, 0)), ""))</f>
        <v>#VALUE!</v>
      </c>
      <c r="X5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38</v>
      </c>
      <c r="Y5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1" s="95" t="e" vm="390">
        <f>IFERROR(INDEX(ImgDatabase!$J:$J, MATCH(Character[[#This Row],[NameHelper]], ImgDatabase!$E:$E, 0)), "")</f>
        <v>#VALUE!</v>
      </c>
      <c r="AC5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6</v>
      </c>
      <c r="AE51" s="66" t="e" vm="507">
        <f>IFERROR(INDEX(ImgDatabase!$M:$M, MATCH(Character[[#This Row],[NameHelper]], ImgDatabase!$E:$E, 0)), "")</f>
        <v>#VALUE!</v>
      </c>
      <c r="AF5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1" s="66" t="e" vm="34">
        <f>IFERROR(INDEX(ImgDatabase!$N:$N, MATCH(Character[[#This Row],[NameHelper]], ImgDatabase!$E:$E, 0)), "")</f>
        <v>#VALUE!</v>
      </c>
      <c r="AI5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1" s="67" t="e" vm="272">
        <f>IFERROR(INDEX(ImgDatabase!$L:$L, MATCH(Character[[#This Row],[NameHelper]], ImgDatabase!$E:$E, 0)), "")</f>
        <v>#VALUE!</v>
      </c>
      <c r="AO5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31</v>
      </c>
      <c r="AS5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1" s="73">
        <f t="shared" si="3"/>
        <v>31</v>
      </c>
      <c r="AV51" s="74">
        <f t="shared" si="4"/>
        <v>0</v>
      </c>
      <c r="AW51" s="75">
        <f t="shared" si="5"/>
        <v>0</v>
      </c>
      <c r="AY5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5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1530000</v>
      </c>
      <c r="BA5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5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1" s="143">
        <f>SUM(Table40[[#This Row],[Ascension
Cost]:[Talent Cost
(Burst)]])</f>
        <v>1530000</v>
      </c>
      <c r="BE5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5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1" s="78">
        <f>SUM(Table53[[#This Row],[NA]:[Burst]])</f>
        <v>1</v>
      </c>
    </row>
    <row r="52" spans="1:60" ht="30" customHeight="1" x14ac:dyDescent="0.25">
      <c r="A52" s="79">
        <f>SUBTOTAL(3,$D$3:Character[[#This Row],[NameHelper]])</f>
        <v>50</v>
      </c>
      <c r="B52" s="80" t="e" vm="856">
        <f>IFERROR(INDEX(ImgDatabase!$D:$D, MATCH(Character[[#This Row],[NameHelper]], ImgDatabase!$E:$E, 0)), "")</f>
        <v>#VALUE!</v>
      </c>
      <c r="C52" s="81" t="s">
        <v>493</v>
      </c>
      <c r="D52" s="81" t="s">
        <v>493</v>
      </c>
      <c r="E52" s="53" t="e" vm="6">
        <f>IFERROR(INDEX(ImgDatabase!$G:$G, MATCH(Character[[#This Row],[NameHelper]], ImgDatabase!$E:$E, 0)), "")</f>
        <v>#VALUE!</v>
      </c>
      <c r="F52" s="53" t="e" vm="479">
        <f>IFERROR(INDEX(CharacterDetailsImg[Weapon Type], MATCH(Character[[#This Row],[NameHelper]], CharacterDetailsImg[Name], 0)), "")</f>
        <v>#VALUE!</v>
      </c>
      <c r="G52" s="82">
        <f>IFERROR(INDEX(CharacterDetailsImg[Released Version], MATCH(Character[[#This Row],[NameHelper]], CharacterDetailsImg[Name], 0)), "")</f>
        <v>4.3</v>
      </c>
      <c r="H52" s="51">
        <v>0</v>
      </c>
      <c r="I52" s="96">
        <v>0</v>
      </c>
      <c r="J52" s="96">
        <v>0</v>
      </c>
      <c r="K52" s="52">
        <v>0</v>
      </c>
      <c r="M52" s="83">
        <v>90</v>
      </c>
      <c r="N52" s="83">
        <v>10</v>
      </c>
      <c r="O52" s="84">
        <v>10</v>
      </c>
      <c r="P52" s="85">
        <v>10</v>
      </c>
      <c r="R5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2" s="86" t="e" vm="514">
        <f>IF(Character[[#This Row],[Name]]="Traveler","",IFERROR(INDEX(ImgDatabase!$I:$I,MATCH(Character[[#This Row],[NameHelper]],ImgDatabase!$E:$E,0)),""))</f>
        <v>#VALUE!</v>
      </c>
      <c r="U5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2" s="88" t="e" vm="434">
        <f>IF(Character[[#This Row],[Name]]="Traveler","",IFERROR(INDEX(ImgDatabase!$K:$K, MATCH(Character[[#This Row],[NameHelper]], ImgDatabase!$E:$E, 0)), ""))</f>
        <v>#VALUE!</v>
      </c>
      <c r="X5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5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2" s="88" t="e" vm="73">
        <f>IFERROR(INDEX(ImgDatabase!$J:$J, MATCH(Character[[#This Row],[NameHelper]], ImgDatabase!$E:$E, 0)), "")</f>
        <v>#VALUE!</v>
      </c>
      <c r="AC5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52" s="86" t="e" vm="527">
        <f>IFERROR(INDEX(ImgDatabase!$M:$M, MATCH(Character[[#This Row],[NameHelper]], ImgDatabase!$E:$E, 0)), "")</f>
        <v>#VALUE!</v>
      </c>
      <c r="AF5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2" s="86" t="e" vm="12">
        <f>IFERROR(INDEX(ImgDatabase!$N:$N, MATCH(Character[[#This Row],[NameHelper]], ImgDatabase!$E:$E, 0)), "")</f>
        <v>#VALUE!</v>
      </c>
      <c r="AI5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2" s="53" t="e" vm="95">
        <f>IFERROR(INDEX(ImgDatabase!$L:$L, MATCH(Character[[#This Row],[NameHelper]], ImgDatabase!$E:$E, 0)), "")</f>
        <v>#VALUE!</v>
      </c>
      <c r="AO5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5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2" s="92">
        <f t="shared" si="3"/>
        <v>0</v>
      </c>
      <c r="AV52" s="93">
        <f t="shared" si="4"/>
        <v>0</v>
      </c>
      <c r="AW52" s="94">
        <f t="shared" si="5"/>
        <v>0</v>
      </c>
      <c r="AY5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5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5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5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2" s="140">
        <f>SUM(Table40[[#This Row],[Ascension
Cost]:[Talent Cost
(Burst)]])</f>
        <v>0</v>
      </c>
      <c r="BE5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5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5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2" s="78">
        <f>SUM(Table53[[#This Row],[NA]:[Burst]])</f>
        <v>0</v>
      </c>
    </row>
    <row r="53" spans="1:60" ht="30" customHeight="1" x14ac:dyDescent="0.25">
      <c r="A53" s="79">
        <f>SUBTOTAL(3,$D$3:Character[[#This Row],[NameHelper]])</f>
        <v>51</v>
      </c>
      <c r="B53" s="80" t="e" vm="857">
        <f>IFERROR(INDEX(ImgDatabase!$D:$D, MATCH(Character[[#This Row],[NameHelper]], ImgDatabase!$E:$E, 0)), "")</f>
        <v>#VALUE!</v>
      </c>
      <c r="C53" s="81" t="s">
        <v>527</v>
      </c>
      <c r="D53" s="81" t="s">
        <v>527</v>
      </c>
      <c r="E53" s="53" t="e" vm="112">
        <f>IFERROR(INDEX(ImgDatabase!$G:$G, MATCH(Character[[#This Row],[NameHelper]], ImgDatabase!$E:$E, 0)), "")</f>
        <v>#VALUE!</v>
      </c>
      <c r="F53" s="53" t="e" vm="552">
        <f>IFERROR(INDEX(CharacterDetailsImg[Weapon Type], MATCH(Character[[#This Row],[NameHelper]], CharacterDetailsImg[Name], 0)), "")</f>
        <v>#VALUE!</v>
      </c>
      <c r="G53" s="82">
        <f>IFERROR(INDEX(CharacterDetailsImg[Released Version], MATCH(Character[[#This Row],[NameHelper]], CharacterDetailsImg[Name], 0)), "")</f>
        <v>4.0999999999999996</v>
      </c>
      <c r="H53" s="51">
        <v>90</v>
      </c>
      <c r="I53" s="41">
        <v>10</v>
      </c>
      <c r="J53" s="41">
        <v>10</v>
      </c>
      <c r="K53" s="52">
        <v>10</v>
      </c>
      <c r="M53" s="83">
        <v>90</v>
      </c>
      <c r="N53" s="83">
        <v>10</v>
      </c>
      <c r="O53" s="84">
        <v>10</v>
      </c>
      <c r="P53" s="85">
        <v>10</v>
      </c>
      <c r="R5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3" s="86" t="e" vm="92">
        <f>IF(Character[[#This Row],[Name]]="Traveler","",IFERROR(INDEX(ImgDatabase!$I:$I,MATCH(Character[[#This Row],[NameHelper]],ImgDatabase!$E:$E,0)),""))</f>
        <v>#VALUE!</v>
      </c>
      <c r="U5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3" s="88" t="e" vm="434">
        <f>IF(Character[[#This Row],[Name]]="Traveler","",IFERROR(INDEX(ImgDatabase!$K:$K, MATCH(Character[[#This Row],[NameHelper]], ImgDatabase!$E:$E, 0)), ""))</f>
        <v>#VALUE!</v>
      </c>
      <c r="X5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5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3" s="95" t="e" vm="93">
        <f>IFERROR(INDEX(ImgDatabase!$J:$J, MATCH(Character[[#This Row],[NameHelper]], ImgDatabase!$E:$E, 0)), "")</f>
        <v>#VALUE!</v>
      </c>
      <c r="AC5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53" s="66" t="e" vm="96">
        <f>IFERROR(INDEX(ImgDatabase!$M:$M, MATCH(Character[[#This Row],[NameHelper]], ImgDatabase!$E:$E, 0)), "")</f>
        <v>#VALUE!</v>
      </c>
      <c r="AF5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3" s="66" t="e" vm="117">
        <f>IFERROR(INDEX(ImgDatabase!$N:$N, MATCH(Character[[#This Row],[NameHelper]], ImgDatabase!$E:$E, 0)), "")</f>
        <v>#VALUE!</v>
      </c>
      <c r="AI5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3" s="67" t="e" vm="95">
        <f>IFERROR(INDEX(ImgDatabase!$L:$L, MATCH(Character[[#This Row],[NameHelper]], ImgDatabase!$E:$E, 0)), "")</f>
        <v>#VALUE!</v>
      </c>
      <c r="AO5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5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3" s="73">
        <f t="shared" si="3"/>
        <v>0</v>
      </c>
      <c r="AV53" s="74">
        <f t="shared" si="4"/>
        <v>0</v>
      </c>
      <c r="AW53" s="75">
        <f t="shared" si="5"/>
        <v>0</v>
      </c>
      <c r="AY5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5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5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5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3" s="143">
        <f>SUM(Table40[[#This Row],[Ascension
Cost]:[Talent Cost
(Burst)]])</f>
        <v>0</v>
      </c>
      <c r="BE5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5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5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3" s="78">
        <f>SUM(Table53[[#This Row],[NA]:[Burst]])</f>
        <v>0</v>
      </c>
    </row>
    <row r="54" spans="1:60" ht="30" customHeight="1" x14ac:dyDescent="0.25">
      <c r="A54" s="79">
        <f>SUBTOTAL(3,$D$3:Character[[#This Row],[NameHelper]])</f>
        <v>52</v>
      </c>
      <c r="B54" s="80" t="e" vm="858">
        <f>IFERROR(INDEX(ImgDatabase!$D:$D, MATCH(Character[[#This Row],[NameHelper]], ImgDatabase!$E:$E, 0)), "")</f>
        <v>#VALUE!</v>
      </c>
      <c r="C54" s="81" t="s">
        <v>258</v>
      </c>
      <c r="D54" s="81" t="s">
        <v>258</v>
      </c>
      <c r="E54" s="53" t="e" vm="112">
        <f>IFERROR(INDEX(ImgDatabase!$G:$G, MATCH(Character[[#This Row],[NameHelper]], ImgDatabase!$E:$E, 0)), "")</f>
        <v>#VALUE!</v>
      </c>
      <c r="F54" s="53" t="e" vm="5">
        <f>IFERROR(INDEX(CharacterDetailsImg[Weapon Type], MATCH(Character[[#This Row],[NameHelper]], CharacterDetailsImg[Name], 0)), "")</f>
        <v>#VALUE!</v>
      </c>
      <c r="G54" s="82">
        <f>IFERROR(INDEX(CharacterDetailsImg[Released Version], MATCH(Character[[#This Row],[NameHelper]], CharacterDetailsImg[Name], 0)), "")</f>
        <v>3.1</v>
      </c>
      <c r="H54" s="51">
        <v>0</v>
      </c>
      <c r="I54" s="41">
        <v>0</v>
      </c>
      <c r="J54" s="41">
        <v>0</v>
      </c>
      <c r="K54" s="52">
        <v>0</v>
      </c>
      <c r="M54" s="83">
        <v>90</v>
      </c>
      <c r="N54" s="83">
        <v>10</v>
      </c>
      <c r="O54" s="84">
        <v>10</v>
      </c>
      <c r="P54" s="85">
        <v>10</v>
      </c>
      <c r="R5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4" s="86" t="e" vm="250">
        <f>IF(Character[[#This Row],[Name]]="Traveler","",IFERROR(INDEX(ImgDatabase!$I:$I,MATCH(Character[[#This Row],[NameHelper]],ImgDatabase!$E:$E,0)),""))</f>
        <v>#VALUE!</v>
      </c>
      <c r="U5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4" s="88" t="e" vm="271">
        <f>IF(Character[[#This Row],[Name]]="Traveler","",IFERROR(INDEX(ImgDatabase!$K:$K, MATCH(Character[[#This Row],[NameHelper]], ImgDatabase!$E:$E, 0)), ""))</f>
        <v>#VALUE!</v>
      </c>
      <c r="X5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5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4" s="88" t="e" vm="240">
        <f>IFERROR(INDEX(ImgDatabase!$J:$J, MATCH(Character[[#This Row],[NameHelper]], ImgDatabase!$E:$E, 0)), "")</f>
        <v>#VALUE!</v>
      </c>
      <c r="AC5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54" s="86" t="e" vm="273">
        <f>IFERROR(INDEX(ImgDatabase!$M:$M, MATCH(Character[[#This Row],[NameHelper]], ImgDatabase!$E:$E, 0)), "")</f>
        <v>#VALUE!</v>
      </c>
      <c r="AF5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4" s="86" t="e" vm="117">
        <f>IFERROR(INDEX(ImgDatabase!$N:$N, MATCH(Character[[#This Row],[NameHelper]], ImgDatabase!$E:$E, 0)), "")</f>
        <v>#VALUE!</v>
      </c>
      <c r="AI5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4" s="53" t="e" vm="272">
        <f>IFERROR(INDEX(ImgDatabase!$L:$L, MATCH(Character[[#This Row],[NameHelper]], ImgDatabase!$E:$E, 0)), "")</f>
        <v>#VALUE!</v>
      </c>
      <c r="AO5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5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4" s="92">
        <f t="shared" si="3"/>
        <v>0</v>
      </c>
      <c r="AV54" s="93">
        <f t="shared" si="4"/>
        <v>0</v>
      </c>
      <c r="AW54" s="94">
        <f t="shared" si="5"/>
        <v>0</v>
      </c>
      <c r="AY5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5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5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5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4" s="140">
        <f>SUM(Table40[[#This Row],[Ascension
Cost]:[Talent Cost
(Burst)]])</f>
        <v>0</v>
      </c>
      <c r="BE5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5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5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4" s="78">
        <f>SUM(Table53[[#This Row],[NA]:[Burst]])</f>
        <v>0</v>
      </c>
    </row>
    <row r="55" spans="1:60" ht="30" customHeight="1" x14ac:dyDescent="0.25">
      <c r="A55" s="79">
        <f>SUBTOTAL(3,$D$3:Character[[#This Row],[NameHelper]])</f>
        <v>53</v>
      </c>
      <c r="B55" s="80" t="e" vm="859">
        <f>IFERROR(INDEX(ImgDatabase!$D:$D, MATCH(Character[[#This Row],[NameHelper]], ImgDatabase!$E:$E, 0)), "")</f>
        <v>#VALUE!</v>
      </c>
      <c r="C55" s="81" t="s">
        <v>529</v>
      </c>
      <c r="D55" s="81" t="s">
        <v>529</v>
      </c>
      <c r="E55" s="53" t="e" vm="6">
        <f>IFERROR(INDEX(ImgDatabase!$G:$G, MATCH(Character[[#This Row],[NameHelper]], ImgDatabase!$E:$E, 0)), "")</f>
        <v>#VALUE!</v>
      </c>
      <c r="F55" s="53" t="e" vm="552">
        <f>IFERROR(INDEX(CharacterDetailsImg[Weapon Type], MATCH(Character[[#This Row],[NameHelper]], CharacterDetailsImg[Name], 0)), "")</f>
        <v>#VALUE!</v>
      </c>
      <c r="G55" s="82">
        <f>IFERROR(INDEX(CharacterDetailsImg[Released Version], MATCH(Character[[#This Row],[NameHelper]], CharacterDetailsImg[Name], 0)), "")</f>
        <v>1</v>
      </c>
      <c r="H55" s="51">
        <v>81</v>
      </c>
      <c r="I55" s="41">
        <v>8</v>
      </c>
      <c r="J55" s="41">
        <v>8</v>
      </c>
      <c r="K55" s="52">
        <v>8</v>
      </c>
      <c r="M55" s="83">
        <v>90</v>
      </c>
      <c r="N55" s="83">
        <v>10</v>
      </c>
      <c r="O55" s="84">
        <v>10</v>
      </c>
      <c r="P55" s="85">
        <v>10</v>
      </c>
      <c r="R5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55" s="86" t="e" vm="7">
        <f>IF(Character[[#This Row],[Name]]="Traveler","",IFERROR(INDEX(ImgDatabase!$I:$I,MATCH(Character[[#This Row],[NameHelper]],ImgDatabase!$E:$E,0)),""))</f>
        <v>#VALUE!</v>
      </c>
      <c r="U5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5" s="88" t="e" vm="212">
        <f>IF(Character[[#This Row],[Name]]="Traveler","",IFERROR(INDEX(ImgDatabase!$K:$K, MATCH(Character[[#This Row],[NameHelper]], ImgDatabase!$E:$E, 0)), ""))</f>
        <v>#VALUE!</v>
      </c>
      <c r="X5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84</v>
      </c>
      <c r="Y5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5" s="95" t="e" vm="167">
        <f>IFERROR(INDEX(ImgDatabase!$J:$J, MATCH(Character[[#This Row],[NameHelper]], ImgDatabase!$E:$E, 0)), "")</f>
        <v>#VALUE!</v>
      </c>
      <c r="AC5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12</v>
      </c>
      <c r="AE55" s="66" t="e" vm="576">
        <f>IFERROR(INDEX(ImgDatabase!$M:$M, MATCH(Character[[#This Row],[NameHelper]], ImgDatabase!$E:$E, 0)), "")</f>
        <v>#VALUE!</v>
      </c>
      <c r="AF5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5" s="66" t="e" vm="12">
        <f>IFERROR(INDEX(ImgDatabase!$N:$N, MATCH(Character[[#This Row],[NameHelper]], ImgDatabase!$E:$E, 0)), "")</f>
        <v>#VALUE!</v>
      </c>
      <c r="AI5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5" s="67" t="e" vm="435">
        <f>IFERROR(INDEX(ImgDatabase!$L:$L, MATCH(Character[[#This Row],[NameHelper]], ImgDatabase!$E:$E, 0)), "")</f>
        <v>#VALUE!</v>
      </c>
      <c r="AO5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63</v>
      </c>
      <c r="AS5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5" s="73">
        <f t="shared" si="3"/>
        <v>63</v>
      </c>
      <c r="AV55" s="74">
        <f t="shared" si="4"/>
        <v>0</v>
      </c>
      <c r="AW55" s="75">
        <f t="shared" si="5"/>
        <v>0</v>
      </c>
      <c r="AY5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5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1150000</v>
      </c>
      <c r="BA5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1150000</v>
      </c>
      <c r="BB5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1150000</v>
      </c>
      <c r="BC55" s="143">
        <f>SUM(Table40[[#This Row],[Ascension
Cost]:[Talent Cost
(Burst)]])</f>
        <v>4097990</v>
      </c>
      <c r="BE5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55" s="78">
        <f>SUM(Table53[[#This Row],[NA]:[Burst]])</f>
        <v>3</v>
      </c>
    </row>
    <row r="56" spans="1:60" ht="30" customHeight="1" x14ac:dyDescent="0.25">
      <c r="A56" s="79">
        <f>SUBTOTAL(3,$D$3:Character[[#This Row],[NameHelper]])</f>
        <v>54</v>
      </c>
      <c r="B56" s="80" t="e" vm="860">
        <f>IFERROR(INDEX(ImgDatabase!$D:$D, MATCH(Character[[#This Row],[NameHelper]], ImgDatabase!$E:$E, 0)), "")</f>
        <v>#VALUE!</v>
      </c>
      <c r="C56" s="81" t="s">
        <v>496</v>
      </c>
      <c r="D56" s="81" t="s">
        <v>496</v>
      </c>
      <c r="E56" s="53" t="e" vm="6">
        <f>IFERROR(INDEX(ImgDatabase!$G:$G, MATCH(Character[[#This Row],[NameHelper]], ImgDatabase!$E:$E, 0)), "")</f>
        <v>#VALUE!</v>
      </c>
      <c r="F56" s="53" t="e" vm="479">
        <f>IFERROR(INDEX(CharacterDetailsImg[Weapon Type], MATCH(Character[[#This Row],[NameHelper]], CharacterDetailsImg[Name], 0)), "")</f>
        <v>#VALUE!</v>
      </c>
      <c r="G56" s="82">
        <f>IFERROR(INDEX(CharacterDetailsImg[Released Version], MATCH(Character[[#This Row],[NameHelper]], CharacterDetailsImg[Name], 0)), "")</f>
        <v>1</v>
      </c>
      <c r="H56" s="51">
        <v>81</v>
      </c>
      <c r="I56" s="41">
        <v>1</v>
      </c>
      <c r="J56" s="41">
        <v>5</v>
      </c>
      <c r="K56" s="52">
        <v>1</v>
      </c>
      <c r="M56" s="83">
        <v>90</v>
      </c>
      <c r="N56" s="83">
        <v>10</v>
      </c>
      <c r="O56" s="84">
        <v>10</v>
      </c>
      <c r="P56" s="85">
        <v>10</v>
      </c>
      <c r="R5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56" s="86" t="e" vm="7">
        <f>IF(Character[[#This Row],[Name]]="Traveler","",IFERROR(INDEX(ImgDatabase!$I:$I,MATCH(Character[[#This Row],[NameHelper]],ImgDatabase!$E:$E,0)),""))</f>
        <v>#VALUE!</v>
      </c>
      <c r="U5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6" s="88" t="e" vm="53">
        <f>IF(Character[[#This Row],[Name]]="Traveler","",IFERROR(INDEX(ImgDatabase!$K:$K, MATCH(Character[[#This Row],[NameHelper]], ImgDatabase!$E:$E, 0)), ""))</f>
        <v>#VALUE!</v>
      </c>
      <c r="X5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5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51</v>
      </c>
      <c r="Z5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6</v>
      </c>
      <c r="AB56" s="88" t="e" vm="531">
        <f>IFERROR(INDEX(ImgDatabase!$J:$J, MATCH(Character[[#This Row],[NameHelper]], ImgDatabase!$E:$E, 0)), "")</f>
        <v>#VALUE!</v>
      </c>
      <c r="AC5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56" s="86" t="e" vm="532">
        <f>IFERROR(INDEX(ImgDatabase!$M:$M, MATCH(Character[[#This Row],[NameHelper]], ImgDatabase!$E:$E, 0)), "")</f>
        <v>#VALUE!</v>
      </c>
      <c r="AF5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6" s="86" t="e" vm="12">
        <f>IFERROR(INDEX(ImgDatabase!$N:$N, MATCH(Character[[#This Row],[NameHelper]], ImgDatabase!$E:$E, 0)), "")</f>
        <v>#VALUE!</v>
      </c>
      <c r="AI5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6" s="53" t="e" vm="133">
        <f>IFERROR(INDEX(ImgDatabase!$L:$L, MATCH(Character[[#This Row],[NameHelper]], ImgDatabase!$E:$E, 0)), "")</f>
        <v>#VALUE!</v>
      </c>
      <c r="AO5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5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53</v>
      </c>
      <c r="AT5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12</v>
      </c>
      <c r="AU56" s="92">
        <f t="shared" si="3"/>
        <v>93</v>
      </c>
      <c r="AV56" s="93">
        <f t="shared" si="4"/>
        <v>53</v>
      </c>
      <c r="AW56" s="94">
        <f t="shared" si="5"/>
        <v>12</v>
      </c>
      <c r="AY5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5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5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1567500</v>
      </c>
      <c r="BB5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56" s="140">
        <f>SUM(Table40[[#This Row],[Ascension
Cost]:[Talent Cost
(Burst)]])</f>
        <v>5520490</v>
      </c>
      <c r="BE5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56" s="78">
        <f>SUM(Table53[[#This Row],[NA]:[Burst]])</f>
        <v>3</v>
      </c>
    </row>
    <row r="57" spans="1:60" ht="30" customHeight="1" x14ac:dyDescent="0.25">
      <c r="A57" s="79">
        <f>SUBTOTAL(3,$D$3:Character[[#This Row],[NameHelper]])</f>
        <v>55</v>
      </c>
      <c r="B57" s="80" t="e" vm="861">
        <f>IFERROR(INDEX(ImgDatabase!$D:$D, MATCH(Character[[#This Row],[NameHelper]], ImgDatabase!$E:$E, 0)), "")</f>
        <v>#VALUE!</v>
      </c>
      <c r="C57" s="81" t="s">
        <v>267</v>
      </c>
      <c r="D57" s="81" t="s">
        <v>267</v>
      </c>
      <c r="E57" s="53" t="e" vm="165">
        <f>IFERROR(INDEX(ImgDatabase!$G:$G, MATCH(Character[[#This Row],[NameHelper]], ImgDatabase!$E:$E, 0)), "")</f>
        <v>#VALUE!</v>
      </c>
      <c r="F57" s="53" t="e" vm="5">
        <f>IFERROR(INDEX(CharacterDetailsImg[Weapon Type], MATCH(Character[[#This Row],[NameHelper]], CharacterDetailsImg[Name], 0)), "")</f>
        <v>#VALUE!</v>
      </c>
      <c r="G57" s="82">
        <f>IFERROR(INDEX(CharacterDetailsImg[Released Version], MATCH(Character[[#This Row],[NameHelper]], CharacterDetailsImg[Name], 0)), "")</f>
        <v>1</v>
      </c>
      <c r="H57" s="51">
        <v>80</v>
      </c>
      <c r="I57" s="41">
        <v>2</v>
      </c>
      <c r="J57" s="41">
        <v>5</v>
      </c>
      <c r="K57" s="52">
        <v>5</v>
      </c>
      <c r="M57" s="83">
        <v>90</v>
      </c>
      <c r="N57" s="83">
        <v>10</v>
      </c>
      <c r="O57" s="84">
        <v>10</v>
      </c>
      <c r="P57" s="85">
        <v>10</v>
      </c>
      <c r="R5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172</v>
      </c>
      <c r="T57" s="86" t="e" vm="166">
        <f>IF(Character[[#This Row],[Name]]="Traveler","",IFERROR(INDEX(ImgDatabase!$I:$I,MATCH(Character[[#This Row],[NameHelper]],ImgDatabase!$E:$E,0)),""))</f>
        <v>#VALUE!</v>
      </c>
      <c r="U5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57" s="88" t="e" vm="212">
        <f>IF(Character[[#This Row],[Name]]="Traveler","",IFERROR(INDEX(ImgDatabase!$K:$K, MATCH(Character[[#This Row],[NameHelper]], ImgDatabase!$E:$E, 0)), ""))</f>
        <v>#VALUE!</v>
      </c>
      <c r="X5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5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39</v>
      </c>
      <c r="Z5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7" s="95" t="e" vm="282">
        <f>IFERROR(INDEX(ImgDatabase!$J:$J, MATCH(Character[[#This Row],[NameHelper]], ImgDatabase!$E:$E, 0)), "")</f>
        <v>#VALUE!</v>
      </c>
      <c r="AC5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57" s="66" t="e" vm="283">
        <f>IFERROR(INDEX(ImgDatabase!$M:$M, MATCH(Character[[#This Row],[NameHelper]], ImgDatabase!$E:$E, 0)), "")</f>
        <v>#VALUE!</v>
      </c>
      <c r="AF5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H57" s="66" t="e" vm="169">
        <f>IFERROR(INDEX(ImgDatabase!$N:$N, MATCH(Character[[#This Row],[NameHelper]], ImgDatabase!$E:$E, 0)), "")</f>
        <v>#VALUE!</v>
      </c>
      <c r="AI5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5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7" s="67" t="e" vm="10">
        <f>IFERROR(INDEX(ImgDatabase!$L:$L, MATCH(Character[[#This Row],[NameHelper]], ImgDatabase!$E:$E, 0)), "")</f>
        <v>#VALUE!</v>
      </c>
      <c r="AO5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AP5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5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40</v>
      </c>
      <c r="AT5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7" s="73">
        <f t="shared" si="3"/>
        <v>117</v>
      </c>
      <c r="AV57" s="74">
        <f t="shared" si="4"/>
        <v>40</v>
      </c>
      <c r="AW57" s="75">
        <f t="shared" si="5"/>
        <v>0</v>
      </c>
      <c r="AY5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804625</v>
      </c>
      <c r="AZ5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1640000</v>
      </c>
      <c r="BA5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1567500</v>
      </c>
      <c r="BB5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1567500</v>
      </c>
      <c r="BC57" s="143">
        <f>SUM(Table40[[#This Row],[Ascension
Cost]:[Talent Cost
(Burst)]])</f>
        <v>5579625</v>
      </c>
      <c r="BE5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57" s="78">
        <f>SUM(Table53[[#This Row],[NA]:[Burst]])</f>
        <v>3</v>
      </c>
    </row>
    <row r="58" spans="1:60" ht="30" customHeight="1" x14ac:dyDescent="0.25">
      <c r="A58" s="79">
        <f>SUBTOTAL(3,$D$3:Character[[#This Row],[NameHelper]])</f>
        <v>56</v>
      </c>
      <c r="B58" s="80" t="e" vm="862">
        <f>IFERROR(INDEX(ImgDatabase!$D:$D, MATCH(Character[[#This Row],[NameHelper]], ImgDatabase!$E:$E, 0)), "")</f>
        <v>#VALUE!</v>
      </c>
      <c r="C58" s="81" t="s">
        <v>699</v>
      </c>
      <c r="D58" s="81" t="s">
        <v>557</v>
      </c>
      <c r="E58" s="53" t="e" vm="91">
        <f>IFERROR(INDEX(ImgDatabase!$G:$G, MATCH(Character[[#This Row],[NameHelper]], ImgDatabase!$E:$E, 0)), "")</f>
        <v>#VALUE!</v>
      </c>
      <c r="F58" s="53" t="e" vm="546">
        <f>IFERROR(INDEX(CharacterDetailsImg[Weapon Type], MATCH(Character[[#This Row],[NameHelper]], CharacterDetailsImg[Name], 0)), "")</f>
        <v>#VALUE!</v>
      </c>
      <c r="G58" s="82">
        <f>IFERROR(INDEX(CharacterDetailsImg[Released Version], MATCH(Character[[#This Row],[NameHelper]], CharacterDetailsImg[Name], 0)), "")</f>
        <v>2.1</v>
      </c>
      <c r="H58" s="51">
        <v>90</v>
      </c>
      <c r="I58" s="41">
        <v>1</v>
      </c>
      <c r="J58" s="41">
        <v>9</v>
      </c>
      <c r="K58" s="52">
        <v>10</v>
      </c>
      <c r="M58" s="83">
        <v>90</v>
      </c>
      <c r="N58" s="83">
        <v>10</v>
      </c>
      <c r="O58" s="84">
        <v>10</v>
      </c>
      <c r="P58" s="85">
        <v>10</v>
      </c>
      <c r="R5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8" s="86" t="e" vm="424">
        <f>IF(Character[[#This Row],[Name]]="Traveler","",IFERROR(INDEX(ImgDatabase!$I:$I,MATCH(Character[[#This Row],[NameHelper]],ImgDatabase!$E:$E,0)),""))</f>
        <v>#VALUE!</v>
      </c>
      <c r="U5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8" s="88" t="e" vm="74">
        <f>IF(Character[[#This Row],[Name]]="Traveler","",IFERROR(INDEX(ImgDatabase!$K:$K, MATCH(Character[[#This Row],[NameHelper]], ImgDatabase!$E:$E, 0)), ""))</f>
        <v>#VALUE!</v>
      </c>
      <c r="X5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5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5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58" s="88" t="e" vm="350">
        <f>IFERROR(INDEX(ImgDatabase!$J:$J, MATCH(Character[[#This Row],[NameHelper]], ImgDatabase!$E:$E, 0)), "")</f>
        <v>#VALUE!</v>
      </c>
      <c r="AC5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58" s="86" t="e" vm="227">
        <f>IFERROR(INDEX(ImgDatabase!$M:$M, MATCH(Character[[#This Row],[NameHelper]], ImgDatabase!$E:$E, 0)), "")</f>
        <v>#VALUE!</v>
      </c>
      <c r="AF5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58" s="86" t="e" vm="97">
        <f>IFERROR(INDEX(ImgDatabase!$N:$N, MATCH(Character[[#This Row],[NameHelper]], ImgDatabase!$E:$E, 0)), "")</f>
        <v>#VALUE!</v>
      </c>
      <c r="AI5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5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8" s="53" t="e" vm="184">
        <f>IFERROR(INDEX(ImgDatabase!$L:$L, MATCH(Character[[#This Row],[NameHelper]], ImgDatabase!$E:$E, 0)), "")</f>
        <v>#VALUE!</v>
      </c>
      <c r="AO5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5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5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5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58" s="92">
        <f t="shared" si="3"/>
        <v>43</v>
      </c>
      <c r="AV58" s="93">
        <f t="shared" si="4"/>
        <v>22</v>
      </c>
      <c r="AW58" s="94">
        <f t="shared" si="5"/>
        <v>6</v>
      </c>
      <c r="AY5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5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5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5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58" s="140">
        <f>SUM(Table40[[#This Row],[Ascension
Cost]:[Talent Cost
(Burst)]])</f>
        <v>2352500</v>
      </c>
      <c r="BE5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58" s="78">
        <f>SUM(Table53[[#This Row],[NA]:[Burst]])</f>
        <v>2</v>
      </c>
    </row>
    <row r="59" spans="1:60" ht="30" customHeight="1" x14ac:dyDescent="0.25">
      <c r="A59" s="79">
        <f>SUBTOTAL(3,$D$3:Character[[#This Row],[NameHelper]])</f>
        <v>57</v>
      </c>
      <c r="B59" s="80" t="e" vm="863">
        <f>IFERROR(INDEX(ImgDatabase!$D:$D, MATCH(Character[[#This Row],[NameHelper]], ImgDatabase!$E:$E, 0)), "")</f>
        <v>#VALUE!</v>
      </c>
      <c r="C59" s="81" t="s">
        <v>499</v>
      </c>
      <c r="D59" s="81" t="s">
        <v>499</v>
      </c>
      <c r="E59" s="53" t="e" vm="91">
        <f>IFERROR(INDEX(ImgDatabase!$G:$G, MATCH(Character[[#This Row],[NameHelper]], ImgDatabase!$E:$E, 0)), "")</f>
        <v>#VALUE!</v>
      </c>
      <c r="F59" s="53" t="e" vm="479">
        <f>IFERROR(INDEX(CharacterDetailsImg[Weapon Type], MATCH(Character[[#This Row],[NameHelper]], CharacterDetailsImg[Name], 0)), "")</f>
        <v>#VALUE!</v>
      </c>
      <c r="G59" s="82">
        <f>IFERROR(INDEX(CharacterDetailsImg[Released Version], MATCH(Character[[#This Row],[NameHelper]], CharacterDetailsImg[Name], 0)), "")</f>
        <v>1</v>
      </c>
      <c r="H59" s="51">
        <v>80</v>
      </c>
      <c r="I59" s="41">
        <v>8</v>
      </c>
      <c r="J59" s="41">
        <v>6</v>
      </c>
      <c r="K59" s="52">
        <v>8</v>
      </c>
      <c r="M59" s="83">
        <v>90</v>
      </c>
      <c r="N59" s="83">
        <v>10</v>
      </c>
      <c r="O59" s="84">
        <v>10</v>
      </c>
      <c r="P59" s="85">
        <v>10</v>
      </c>
      <c r="R5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172</v>
      </c>
      <c r="T59" s="86" t="e" vm="210">
        <f>IF(Character[[#This Row],[Name]]="Traveler","",IFERROR(INDEX(ImgDatabase!$I:$I,MATCH(Character[[#This Row],[NameHelper]],ImgDatabase!$E:$E,0)),""))</f>
        <v>#VALUE!</v>
      </c>
      <c r="U5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59" s="88" t="e" vm="53">
        <f>IF(Character[[#This Row],[Name]]="Traveler","",IFERROR(INDEX(ImgDatabase!$K:$K, MATCH(Character[[#This Row],[NameHelper]], ImgDatabase!$E:$E, 0)), ""))</f>
        <v>#VALUE!</v>
      </c>
      <c r="X5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94</v>
      </c>
      <c r="Y5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5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59" s="95" t="e" vm="531">
        <f>IFERROR(INDEX(ImgDatabase!$J:$J, MATCH(Character[[#This Row],[NameHelper]], ImgDatabase!$E:$E, 0)), "")</f>
        <v>#VALUE!</v>
      </c>
      <c r="AC5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14</v>
      </c>
      <c r="AE59" s="66" t="e" vm="536">
        <f>IFERROR(INDEX(ImgDatabase!$M:$M, MATCH(Character[[#This Row],[NameHelper]], ImgDatabase!$E:$E, 0)), "")</f>
        <v>#VALUE!</v>
      </c>
      <c r="AF5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H59" s="66" t="e" vm="97">
        <f>IFERROR(INDEX(ImgDatabase!$N:$N, MATCH(Character[[#This Row],[NameHelper]], ImgDatabase!$E:$E, 0)), "")</f>
        <v>#VALUE!</v>
      </c>
      <c r="AI5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5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5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5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59" s="67" t="e" vm="133">
        <f>IFERROR(INDEX(ImgDatabase!$L:$L, MATCH(Character[[#This Row],[NameHelper]], ImgDatabase!$E:$E, 0)), "")</f>
        <v>#VALUE!</v>
      </c>
      <c r="AO5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AP5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5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5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73</v>
      </c>
      <c r="AS5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5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59" s="73">
        <f t="shared" si="3"/>
        <v>97</v>
      </c>
      <c r="AV59" s="74">
        <f t="shared" si="4"/>
        <v>0</v>
      </c>
      <c r="AW59" s="75">
        <f t="shared" si="5"/>
        <v>0</v>
      </c>
      <c r="AY5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804625</v>
      </c>
      <c r="AZ5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1150000</v>
      </c>
      <c r="BA5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1530000</v>
      </c>
      <c r="BB5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1150000</v>
      </c>
      <c r="BC59" s="143">
        <f>SUM(Table40[[#This Row],[Ascension
Cost]:[Talent Cost
(Burst)]])</f>
        <v>4634625</v>
      </c>
      <c r="BE5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5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5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59" s="78">
        <f>SUM(Table53[[#This Row],[NA]:[Burst]])</f>
        <v>3</v>
      </c>
    </row>
    <row r="60" spans="1:60" ht="30" customHeight="1" x14ac:dyDescent="0.25">
      <c r="A60" s="79">
        <f>SUBTOTAL(3,$D$3:Character[[#This Row],[NameHelper]])</f>
        <v>58</v>
      </c>
      <c r="B60" s="80" t="e" vm="864">
        <f>IFERROR(INDEX(ImgDatabase!$D:$D, MATCH(Character[[#This Row],[NameHelper]], ImgDatabase!$E:$E, 0)), "")</f>
        <v>#VALUE!</v>
      </c>
      <c r="C60" s="81" t="s">
        <v>559</v>
      </c>
      <c r="D60" s="81" t="s">
        <v>559</v>
      </c>
      <c r="E60" s="53" t="e" vm="165">
        <f>IFERROR(INDEX(ImgDatabase!$G:$G, MATCH(Character[[#This Row],[NameHelper]], ImgDatabase!$E:$E, 0)), "")</f>
        <v>#VALUE!</v>
      </c>
      <c r="F60" s="53" t="e" vm="546">
        <f>IFERROR(INDEX(CharacterDetailsImg[Weapon Type], MATCH(Character[[#This Row],[NameHelper]], CharacterDetailsImg[Name], 0)), "")</f>
        <v>#VALUE!</v>
      </c>
      <c r="G60" s="82">
        <f>IFERROR(INDEX(CharacterDetailsImg[Released Version], MATCH(Character[[#This Row],[NameHelper]], CharacterDetailsImg[Name], 0)), "")</f>
        <v>1.4</v>
      </c>
      <c r="H60" s="51">
        <v>21</v>
      </c>
      <c r="I60" s="41">
        <v>1</v>
      </c>
      <c r="J60" s="41">
        <v>1</v>
      </c>
      <c r="K60" s="52">
        <v>1</v>
      </c>
      <c r="M60" s="83">
        <v>90</v>
      </c>
      <c r="N60" s="83">
        <v>10</v>
      </c>
      <c r="O60" s="84">
        <v>10</v>
      </c>
      <c r="P60" s="85">
        <v>10</v>
      </c>
      <c r="R6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60" s="86" t="e" vm="166">
        <f>IF(Character[[#This Row],[Name]]="Traveler","",IFERROR(INDEX(ImgDatabase!$I:$I,MATCH(Character[[#This Row],[NameHelper]],ImgDatabase!$E:$E,0)),""))</f>
        <v>#VALUE!</v>
      </c>
      <c r="U6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0" s="88" t="e" vm="9">
        <f>IF(Character[[#This Row],[Name]]="Traveler","",IFERROR(INDEX(ImgDatabase!$K:$K, MATCH(Character[[#This Row],[NameHelper]], ImgDatabase!$E:$E, 0)), ""))</f>
        <v>#VALUE!</v>
      </c>
      <c r="X6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0" s="88" t="e" vm="408">
        <f>IFERROR(INDEX(ImgDatabase!$J:$J, MATCH(Character[[#This Row],[NameHelper]], ImgDatabase!$E:$E, 0)), "")</f>
        <v>#VALUE!</v>
      </c>
      <c r="AC6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0" s="86" t="e" vm="532">
        <f>IFERROR(INDEX(ImgDatabase!$M:$M, MATCH(Character[[#This Row],[NameHelper]], ImgDatabase!$E:$E, 0)), "")</f>
        <v>#VALUE!</v>
      </c>
      <c r="AF6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60" s="86" t="e" vm="169">
        <f>IFERROR(INDEX(ImgDatabase!$N:$N, MATCH(Character[[#This Row],[NameHelper]], ImgDatabase!$E:$E, 0)), "")</f>
        <v>#VALUE!</v>
      </c>
      <c r="AI6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6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0" s="53" t="e" vm="435">
        <f>IFERROR(INDEX(ImgDatabase!$L:$L, MATCH(Character[[#This Row],[NameHelper]], ImgDatabase!$E:$E, 0)), "")</f>
        <v>#VALUE!</v>
      </c>
      <c r="AO6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6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6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0" s="92">
        <f t="shared" si="3"/>
        <v>129</v>
      </c>
      <c r="AV60" s="93">
        <f t="shared" si="4"/>
        <v>96</v>
      </c>
      <c r="AW60" s="94">
        <f t="shared" si="5"/>
        <v>33</v>
      </c>
      <c r="AY6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6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0" s="140">
        <f>SUM(Table40[[#This Row],[Ascension
Cost]:[Talent Cost
(Burst)]])</f>
        <v>7003020</v>
      </c>
      <c r="BE6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0" s="78">
        <f>SUM(Table53[[#This Row],[NA]:[Burst]])</f>
        <v>3</v>
      </c>
    </row>
    <row r="61" spans="1:60" ht="30" customHeight="1" x14ac:dyDescent="0.25">
      <c r="A61" s="79">
        <f>SUBTOTAL(3,$D$3:Character[[#This Row],[NameHelper]])</f>
        <v>59</v>
      </c>
      <c r="B61" s="80" t="e" vm="865">
        <f>IFERROR(INDEX(ImgDatabase!$D:$D, MATCH(Character[[#This Row],[NameHelper]], ImgDatabase!$E:$E, 0)), "")</f>
        <v>#VALUE!</v>
      </c>
      <c r="C61" s="81" t="s">
        <v>700</v>
      </c>
      <c r="D61" s="81" t="s">
        <v>531</v>
      </c>
      <c r="E61" s="53" t="e" vm="112">
        <f>IFERROR(INDEX(ImgDatabase!$G:$G, MATCH(Character[[#This Row],[NameHelper]], ImgDatabase!$E:$E, 0)), "")</f>
        <v>#VALUE!</v>
      </c>
      <c r="F61" s="53" t="e" vm="552">
        <f>IFERROR(INDEX(CharacterDetailsImg[Weapon Type], MATCH(Character[[#This Row],[NameHelper]], CharacterDetailsImg[Name], 0)), "")</f>
        <v>#VALUE!</v>
      </c>
      <c r="G61" s="82">
        <f>IFERROR(INDEX(CharacterDetailsImg[Released Version], MATCH(Character[[#This Row],[NameHelper]], CharacterDetailsImg[Name], 0)), "")</f>
        <v>2.1</v>
      </c>
      <c r="H61" s="51">
        <v>90</v>
      </c>
      <c r="I61" s="41">
        <v>1</v>
      </c>
      <c r="J61" s="41">
        <v>9</v>
      </c>
      <c r="K61" s="52">
        <v>9</v>
      </c>
      <c r="M61" s="83">
        <v>90</v>
      </c>
      <c r="N61" s="83">
        <v>10</v>
      </c>
      <c r="O61" s="84">
        <v>10</v>
      </c>
      <c r="P61" s="85">
        <v>10</v>
      </c>
      <c r="R6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1" s="86" t="e" vm="197">
        <f>IF(Character[[#This Row],[Name]]="Traveler","",IFERROR(INDEX(ImgDatabase!$I:$I,MATCH(Character[[#This Row],[NameHelper]],ImgDatabase!$E:$E,0)),""))</f>
        <v>#VALUE!</v>
      </c>
      <c r="U6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1" s="88" t="e" vm="226">
        <f>IF(Character[[#This Row],[Name]]="Traveler","",IFERROR(INDEX(ImgDatabase!$K:$K, MATCH(Character[[#This Row],[NameHelper]], ImgDatabase!$E:$E, 0)), ""))</f>
        <v>#VALUE!</v>
      </c>
      <c r="X61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6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6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61" s="95" t="e" vm="579">
        <f>IFERROR(INDEX(ImgDatabase!$J:$J, MATCH(Character[[#This Row],[NameHelper]], ImgDatabase!$E:$E, 0)), "")</f>
        <v>#VALUE!</v>
      </c>
      <c r="AC6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61" s="66" t="e" vm="417">
        <f>IFERROR(INDEX(ImgDatabase!$M:$M, MATCH(Character[[#This Row],[NameHelper]], ImgDatabase!$E:$E, 0)), "")</f>
        <v>#VALUE!</v>
      </c>
      <c r="AF6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61" s="66" t="e" vm="117">
        <f>IFERROR(INDEX(ImgDatabase!$N:$N, MATCH(Character[[#This Row],[NameHelper]], ImgDatabase!$E:$E, 0)), "")</f>
        <v>#VALUE!</v>
      </c>
      <c r="AI6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6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6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1" s="67" t="e" vm="75">
        <f>IFERROR(INDEX(ImgDatabase!$L:$L, MATCH(Character[[#This Row],[NameHelper]], ImgDatabase!$E:$E, 0)), "")</f>
        <v>#VALUE!</v>
      </c>
      <c r="AO6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6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6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6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6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61" s="73">
        <f t="shared" si="3"/>
        <v>55</v>
      </c>
      <c r="AV61" s="74">
        <f t="shared" si="4"/>
        <v>22</v>
      </c>
      <c r="AW61" s="75">
        <f t="shared" si="5"/>
        <v>6</v>
      </c>
      <c r="AY6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6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6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61" s="143">
        <f>SUM(Table40[[#This Row],[Ascension
Cost]:[Talent Cost
(Burst)]])</f>
        <v>3052500</v>
      </c>
      <c r="BE6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1" s="78">
        <f>SUM(Table53[[#This Row],[NA]:[Burst]])</f>
        <v>3</v>
      </c>
    </row>
    <row r="62" spans="1:60" ht="30" customHeight="1" x14ac:dyDescent="0.25">
      <c r="A62" s="79">
        <f>SUBTOTAL(3,$D$3:Character[[#This Row],[NameHelper]])</f>
        <v>60</v>
      </c>
      <c r="B62" s="80" t="e" vm="866">
        <f>IFERROR(INDEX(ImgDatabase!$D:$D, MATCH(Character[[#This Row],[NameHelper]], ImgDatabase!$E:$E, 0)), "")</f>
        <v>#VALUE!</v>
      </c>
      <c r="C62" s="81" t="s">
        <v>502</v>
      </c>
      <c r="D62" s="81" t="s">
        <v>502</v>
      </c>
      <c r="E62" s="53" t="e" vm="131">
        <f>IFERROR(INDEX(ImgDatabase!$G:$G, MATCH(Character[[#This Row],[NameHelper]], ImgDatabase!$E:$E, 0)), "")</f>
        <v>#VALUE!</v>
      </c>
      <c r="F62" s="53" t="e" vm="479">
        <f>IFERROR(INDEX(CharacterDetailsImg[Weapon Type], MATCH(Character[[#This Row],[NameHelper]], CharacterDetailsImg[Name], 0)), "")</f>
        <v>#VALUE!</v>
      </c>
      <c r="G62" s="82">
        <f>IFERROR(INDEX(CharacterDetailsImg[Released Version], MATCH(Character[[#This Row],[NameHelper]], CharacterDetailsImg[Name], 0)), "")</f>
        <v>2</v>
      </c>
      <c r="H62" s="51">
        <v>22</v>
      </c>
      <c r="I62" s="41">
        <v>1</v>
      </c>
      <c r="J62" s="41">
        <v>1</v>
      </c>
      <c r="K62" s="52">
        <v>1</v>
      </c>
      <c r="M62" s="83">
        <v>90</v>
      </c>
      <c r="N62" s="83">
        <v>10</v>
      </c>
      <c r="O62" s="84">
        <v>10</v>
      </c>
      <c r="P62" s="85">
        <v>10</v>
      </c>
      <c r="R6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62" s="86" t="e" vm="149">
        <f>IF(Character[[#This Row],[Name]]="Traveler","",IFERROR(INDEX(ImgDatabase!$I:$I,MATCH(Character[[#This Row],[NameHelper]],ImgDatabase!$E:$E,0)),""))</f>
        <v>#VALUE!</v>
      </c>
      <c r="U6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2" s="88" t="e" vm="74">
        <f>IF(Character[[#This Row],[Name]]="Traveler","",IFERROR(INDEX(ImgDatabase!$K:$K, MATCH(Character[[#This Row],[NameHelper]], ImgDatabase!$E:$E, 0)), ""))</f>
        <v>#VALUE!</v>
      </c>
      <c r="X6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2" s="88" t="e" vm="150">
        <f>IFERROR(INDEX(ImgDatabase!$J:$J, MATCH(Character[[#This Row],[NameHelper]], ImgDatabase!$E:$E, 0)), "")</f>
        <v>#VALUE!</v>
      </c>
      <c r="AC6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2" s="86" t="e" vm="352">
        <f>IFERROR(INDEX(ImgDatabase!$M:$M, MATCH(Character[[#This Row],[NameHelper]], ImgDatabase!$E:$E, 0)), "")</f>
        <v>#VALUE!</v>
      </c>
      <c r="AF6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62" s="86" t="e" vm="135">
        <f>IFERROR(INDEX(ImgDatabase!$N:$N, MATCH(Character[[#This Row],[NameHelper]], ImgDatabase!$E:$E, 0)), "")</f>
        <v>#VALUE!</v>
      </c>
      <c r="AI6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6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2" s="53" t="e" vm="115">
        <f>IFERROR(INDEX(ImgDatabase!$L:$L, MATCH(Character[[#This Row],[NameHelper]], ImgDatabase!$E:$E, 0)), "")</f>
        <v>#VALUE!</v>
      </c>
      <c r="AO6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6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6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2" s="92">
        <f t="shared" si="3"/>
        <v>129</v>
      </c>
      <c r="AV62" s="93">
        <f t="shared" si="4"/>
        <v>96</v>
      </c>
      <c r="AW62" s="94">
        <f t="shared" si="5"/>
        <v>33</v>
      </c>
      <c r="AY6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6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2" s="140">
        <f>SUM(Table40[[#This Row],[Ascension
Cost]:[Talent Cost
(Burst)]])</f>
        <v>6999660</v>
      </c>
      <c r="BE6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2" s="78">
        <f>SUM(Table53[[#This Row],[NA]:[Burst]])</f>
        <v>3</v>
      </c>
    </row>
    <row r="63" spans="1:60" ht="30" customHeight="1" x14ac:dyDescent="0.25">
      <c r="A63" s="79">
        <f>SUBTOTAL(3,$D$3:Character[[#This Row],[NameHelper]])</f>
        <v>61</v>
      </c>
      <c r="B63" s="80" t="e" vm="867">
        <f>IFERROR(INDEX(ImgDatabase!$D:$D, MATCH(Character[[#This Row],[NameHelper]], ImgDatabase!$E:$E, 0)), "")</f>
        <v>#VALUE!</v>
      </c>
      <c r="C63" s="81" t="s">
        <v>25</v>
      </c>
      <c r="D63" s="81" t="s">
        <v>25</v>
      </c>
      <c r="E63" s="53" t="e" vm="91">
        <f>IFERROR(INDEX(ImgDatabase!$G:$G, MATCH(Character[[#This Row],[NameHelper]], ImgDatabase!$E:$E, 0)), "")</f>
        <v>#VALUE!</v>
      </c>
      <c r="F63" s="53" t="e" vm="348">
        <f>IFERROR(INDEX(CharacterDetailsImg[Weapon Type], MATCH(Character[[#This Row],[NameHelper]], CharacterDetailsImg[Name], 0)), "")</f>
        <v>#VALUE!</v>
      </c>
      <c r="G63" s="82">
        <f>IFERROR(INDEX(CharacterDetailsImg[Released Version], MATCH(Character[[#This Row],[NameHelper]], CharacterDetailsImg[Name], 0)), "")</f>
        <v>4.8</v>
      </c>
      <c r="H63" s="51">
        <v>0</v>
      </c>
      <c r="I63" s="41">
        <v>0</v>
      </c>
      <c r="J63" s="41">
        <v>0</v>
      </c>
      <c r="K63" s="52">
        <v>0</v>
      </c>
      <c r="M63" s="83">
        <v>90</v>
      </c>
      <c r="N63" s="83">
        <v>10</v>
      </c>
      <c r="O63" s="84">
        <v>10</v>
      </c>
      <c r="P63" s="85">
        <v>10</v>
      </c>
      <c r="R6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3" s="86" t="e" vm="442">
        <f>IF(Character[[#This Row],[Name]]="Traveler","",IFERROR(INDEX(ImgDatabase!$I:$I,MATCH(Character[[#This Row],[NameHelper]],ImgDatabase!$E:$E,0)),""))</f>
        <v>#VALUE!</v>
      </c>
      <c r="U6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3" s="88" t="e" vm="271">
        <f>IF(Character[[#This Row],[Name]]="Traveler","",IFERROR(INDEX(ImgDatabase!$K:$K, MATCH(Character[[#This Row],[NameHelper]], ImgDatabase!$E:$E, 0)), ""))</f>
        <v>#VALUE!</v>
      </c>
      <c r="X63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6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6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63" s="95" t="e" vm="443">
        <f>IFERROR(INDEX(ImgDatabase!$J:$J, MATCH(Character[[#This Row],[NameHelper]], ImgDatabase!$E:$E, 0)), "")</f>
        <v>#VALUE!</v>
      </c>
      <c r="AC6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63" s="66" t="e" vm="444">
        <f>IFERROR(INDEX(ImgDatabase!$M:$M, MATCH(Character[[#This Row],[NameHelper]], ImgDatabase!$E:$E, 0)), "")</f>
        <v>#VALUE!</v>
      </c>
      <c r="AF6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63" s="66" t="e" vm="97">
        <f>IFERROR(INDEX(ImgDatabase!$N:$N, MATCH(Character[[#This Row],[NameHelper]], ImgDatabase!$E:$E, 0)), "")</f>
        <v>#VALUE!</v>
      </c>
      <c r="AI6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6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6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3" s="67" t="e" vm="32">
        <f>IFERROR(INDEX(ImgDatabase!$L:$L, MATCH(Character[[#This Row],[NameHelper]], ImgDatabase!$E:$E, 0)), "")</f>
        <v>#VALUE!</v>
      </c>
      <c r="AO6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6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6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6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6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63" s="73">
        <f t="shared" si="3"/>
        <v>0</v>
      </c>
      <c r="AV63" s="74">
        <f t="shared" si="4"/>
        <v>0</v>
      </c>
      <c r="AW63" s="75">
        <f t="shared" si="5"/>
        <v>0</v>
      </c>
      <c r="AY6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6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6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6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63" s="143">
        <f>SUM(Table40[[#This Row],[Ascension
Cost]:[Talent Cost
(Burst)]])</f>
        <v>0</v>
      </c>
      <c r="BE6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6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6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63" s="78">
        <f>SUM(Table53[[#This Row],[NA]:[Burst]])</f>
        <v>0</v>
      </c>
    </row>
    <row r="64" spans="1:60" ht="30" customHeight="1" x14ac:dyDescent="0.25">
      <c r="A64" s="79">
        <f>SUBTOTAL(3,$D$3:Character[[#This Row],[NameHelper]])</f>
        <v>62</v>
      </c>
      <c r="B64" s="80" t="e" vm="868">
        <f>IFERROR(INDEX(ImgDatabase!$D:$D, MATCH(Character[[#This Row],[NameHelper]], ImgDatabase!$E:$E, 0)), "")</f>
        <v>#VALUE!</v>
      </c>
      <c r="C64" s="81" t="s">
        <v>561</v>
      </c>
      <c r="D64" s="81" t="s">
        <v>561</v>
      </c>
      <c r="E64" s="53" t="e" vm="165">
        <f>IFERROR(INDEX(ImgDatabase!$G:$G, MATCH(Character[[#This Row],[NameHelper]], ImgDatabase!$E:$E, 0)), "")</f>
        <v>#VALUE!</v>
      </c>
      <c r="F64" s="53" t="e" vm="546">
        <f>IFERROR(INDEX(CharacterDetailsImg[Weapon Type], MATCH(Character[[#This Row],[NameHelper]], CharacterDetailsImg[Name], 0)), "")</f>
        <v>#VALUE!</v>
      </c>
      <c r="G64" s="82">
        <f>IFERROR(INDEX(CharacterDetailsImg[Released Version], MATCH(Character[[#This Row],[NameHelper]], CharacterDetailsImg[Name], 0)), "")</f>
        <v>2.4</v>
      </c>
      <c r="H64" s="51">
        <v>90</v>
      </c>
      <c r="I64" s="41">
        <v>1</v>
      </c>
      <c r="J64" s="41">
        <v>10</v>
      </c>
      <c r="K64" s="52">
        <v>9</v>
      </c>
      <c r="M64" s="83">
        <v>90</v>
      </c>
      <c r="N64" s="83">
        <v>10</v>
      </c>
      <c r="O64" s="84">
        <v>10</v>
      </c>
      <c r="P64" s="85">
        <v>10</v>
      </c>
      <c r="R6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4" s="86" t="e" vm="595">
        <f>IF(Character[[#This Row],[Name]]="Traveler","",IFERROR(INDEX(ImgDatabase!$I:$I,MATCH(Character[[#This Row],[NameHelper]],ImgDatabase!$E:$E,0)),""))</f>
        <v>#VALUE!</v>
      </c>
      <c r="U6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4" s="88" t="e" vm="212">
        <f>IF(Character[[#This Row],[Name]]="Traveler","",IFERROR(INDEX(ImgDatabase!$K:$K, MATCH(Character[[#This Row],[NameHelper]], ImgDatabase!$E:$E, 0)), ""))</f>
        <v>#VALUE!</v>
      </c>
      <c r="X6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6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6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64" s="88" t="e" vm="579">
        <f>IFERROR(INDEX(ImgDatabase!$J:$J, MATCH(Character[[#This Row],[NameHelper]], ImgDatabase!$E:$E, 0)), "")</f>
        <v>#VALUE!</v>
      </c>
      <c r="AC6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64" s="86" t="e" vm="409">
        <f>IFERROR(INDEX(ImgDatabase!$M:$M, MATCH(Character[[#This Row],[NameHelper]], ImgDatabase!$E:$E, 0)), "")</f>
        <v>#VALUE!</v>
      </c>
      <c r="AF6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64" s="86" t="e" vm="169">
        <f>IFERROR(INDEX(ImgDatabase!$N:$N, MATCH(Character[[#This Row],[NameHelper]], ImgDatabase!$E:$E, 0)), "")</f>
        <v>#VALUE!</v>
      </c>
      <c r="AI6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6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6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4" s="53" t="e" vm="115">
        <f>IFERROR(INDEX(ImgDatabase!$L:$L, MATCH(Character[[#This Row],[NameHelper]], ImgDatabase!$E:$E, 0)), "")</f>
        <v>#VALUE!</v>
      </c>
      <c r="AO6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6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6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6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6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64" s="92">
        <f t="shared" si="3"/>
        <v>43</v>
      </c>
      <c r="AV64" s="93">
        <f t="shared" si="4"/>
        <v>22</v>
      </c>
      <c r="AW64" s="94">
        <f t="shared" si="5"/>
        <v>6</v>
      </c>
      <c r="AY6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6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6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64" s="140">
        <f>SUM(Table40[[#This Row],[Ascension
Cost]:[Talent Cost
(Burst)]])</f>
        <v>2352500</v>
      </c>
      <c r="BE6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6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4" s="78">
        <f>SUM(Table53[[#This Row],[NA]:[Burst]])</f>
        <v>2</v>
      </c>
    </row>
    <row r="65" spans="1:60" ht="30" customHeight="1" x14ac:dyDescent="0.25">
      <c r="A65" s="79">
        <f>SUBTOTAL(3,$D$3:Character[[#This Row],[NameHelper]])</f>
        <v>63</v>
      </c>
      <c r="B65" s="80" t="e" vm="869">
        <f>IFERROR(INDEX(ImgDatabase!$D:$D, MATCH(Character[[#This Row],[NameHelper]], ImgDatabase!$E:$E, 0)), "")</f>
        <v>#VALUE!</v>
      </c>
      <c r="C65" s="81" t="s">
        <v>701</v>
      </c>
      <c r="D65" s="81" t="s">
        <v>533</v>
      </c>
      <c r="E65" s="53" t="e" vm="131">
        <f>IFERROR(INDEX(ImgDatabase!$G:$G, MATCH(Character[[#This Row],[NameHelper]], ImgDatabase!$E:$E, 0)), "")</f>
        <v>#VALUE!</v>
      </c>
      <c r="F65" s="53" t="e" vm="552">
        <f>IFERROR(INDEX(CharacterDetailsImg[Weapon Type], MATCH(Character[[#This Row],[NameHelper]], CharacterDetailsImg[Name], 0)), "")</f>
        <v>#VALUE!</v>
      </c>
      <c r="G65" s="82">
        <f>IFERROR(INDEX(CharacterDetailsImg[Released Version], MATCH(Character[[#This Row],[NameHelper]], CharacterDetailsImg[Name], 0)), "")</f>
        <v>2.8</v>
      </c>
      <c r="H65" s="51">
        <v>60</v>
      </c>
      <c r="I65" s="41">
        <v>1</v>
      </c>
      <c r="J65" s="41">
        <v>1</v>
      </c>
      <c r="K65" s="52">
        <v>1</v>
      </c>
      <c r="M65" s="83">
        <v>90</v>
      </c>
      <c r="N65" s="83">
        <v>10</v>
      </c>
      <c r="O65" s="84">
        <v>10</v>
      </c>
      <c r="P65" s="85">
        <v>10</v>
      </c>
      <c r="R6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312</v>
      </c>
      <c r="T65" s="86" t="e" vm="239">
        <f>IF(Character[[#This Row],[Name]]="Traveler","",IFERROR(INDEX(ImgDatabase!$I:$I,MATCH(Character[[#This Row],[NameHelper]],ImgDatabase!$E:$E,0)),""))</f>
        <v>#VALUE!</v>
      </c>
      <c r="U6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65" s="88" t="e" vm="226">
        <f>IF(Character[[#This Row],[Name]]="Traveler","",IFERROR(INDEX(ImgDatabase!$K:$K, MATCH(Character[[#This Row],[NameHelper]], ImgDatabase!$E:$E, 0)), ""))</f>
        <v>#VALUE!</v>
      </c>
      <c r="X65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5" s="95" t="e" vm="456">
        <f>IFERROR(INDEX(ImgDatabase!$J:$J, MATCH(Character[[#This Row],[NameHelper]], ImgDatabase!$E:$E, 0)), "")</f>
        <v>#VALUE!</v>
      </c>
      <c r="AC6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5" s="66" t="e" vm="481">
        <f>IFERROR(INDEX(ImgDatabase!$M:$M, MATCH(Character[[#This Row],[NameHelper]], ImgDatabase!$E:$E, 0)), "")</f>
        <v>#VALUE!</v>
      </c>
      <c r="AF6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H65" s="66" t="e" vm="135">
        <f>IFERROR(INDEX(ImgDatabase!$N:$N, MATCH(Character[[#This Row],[NameHelper]], ImgDatabase!$E:$E, 0)), "")</f>
        <v>#VALUE!</v>
      </c>
      <c r="AI6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5" s="67" t="e" vm="54">
        <f>IFERROR(INDEX(ImgDatabase!$L:$L, MATCH(Character[[#This Row],[NameHelper]], ImgDatabase!$E:$E, 0)), "")</f>
        <v>#VALUE!</v>
      </c>
      <c r="AO6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AQ6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5" s="73">
        <f t="shared" si="3"/>
        <v>129</v>
      </c>
      <c r="AV65" s="74">
        <f t="shared" si="4"/>
        <v>84</v>
      </c>
      <c r="AW65" s="75">
        <f t="shared" si="5"/>
        <v>18</v>
      </c>
      <c r="AY6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1546185</v>
      </c>
      <c r="AZ6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5" s="143">
        <f>SUM(Table40[[#This Row],[Ascension
Cost]:[Talent Cost
(Burst)]])</f>
        <v>6503685</v>
      </c>
      <c r="BE6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5" s="78">
        <f>SUM(Table53[[#This Row],[NA]:[Burst]])</f>
        <v>3</v>
      </c>
    </row>
    <row r="66" spans="1:60" ht="30" customHeight="1" x14ac:dyDescent="0.25">
      <c r="A66" s="79">
        <f>SUBTOTAL(3,$D$3:Character[[#This Row],[NameHelper]])</f>
        <v>64</v>
      </c>
      <c r="B66" s="80" t="e" vm="870">
        <f>IFERROR(INDEX(ImgDatabase!$D:$D, MATCH(Character[[#This Row],[NameHelper]], ImgDatabase!$E:$E, 0)), "")</f>
        <v>#VALUE!</v>
      </c>
      <c r="C66" s="81" t="s">
        <v>535</v>
      </c>
      <c r="D66" s="81" t="s">
        <v>535</v>
      </c>
      <c r="E66" s="53" t="e" vm="131">
        <f>IFERROR(INDEX(ImgDatabase!$G:$G, MATCH(Character[[#This Row],[NameHelper]], ImgDatabase!$E:$E, 0)), "")</f>
        <v>#VALUE!</v>
      </c>
      <c r="F66" s="53" t="e" vm="552">
        <f>IFERROR(INDEX(CharacterDetailsImg[Weapon Type], MATCH(Character[[#This Row],[NameHelper]], CharacterDetailsImg[Name], 0)), "")</f>
        <v>#VALUE!</v>
      </c>
      <c r="G66" s="82">
        <f>IFERROR(INDEX(CharacterDetailsImg[Released Version], MATCH(Character[[#This Row],[NameHelper]], CharacterDetailsImg[Name], 0)), "")</f>
        <v>1</v>
      </c>
      <c r="H66" s="51">
        <v>81</v>
      </c>
      <c r="I66" s="41">
        <v>1</v>
      </c>
      <c r="J66" s="41">
        <v>8</v>
      </c>
      <c r="K66" s="52">
        <v>9</v>
      </c>
      <c r="M66" s="83">
        <v>90</v>
      </c>
      <c r="N66" s="83">
        <v>10</v>
      </c>
      <c r="O66" s="84">
        <v>10</v>
      </c>
      <c r="P66" s="85">
        <v>10</v>
      </c>
      <c r="R6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66" s="86" t="e" vm="132">
        <f>IF(Character[[#This Row],[Name]]="Traveler","",IFERROR(INDEX(ImgDatabase!$I:$I,MATCH(Character[[#This Row],[NameHelper]],ImgDatabase!$E:$E,0)),""))</f>
        <v>#VALUE!</v>
      </c>
      <c r="U6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6" s="88" t="e" vm="351">
        <f>IF(Character[[#This Row],[Name]]="Traveler","",IFERROR(INDEX(ImgDatabase!$K:$K, MATCH(Character[[#This Row],[NameHelper]], ImgDatabase!$E:$E, 0)), ""))</f>
        <v>#VALUE!</v>
      </c>
      <c r="X6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82</v>
      </c>
      <c r="Y6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6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66" s="88" t="e" vm="167">
        <f>IFERROR(INDEX(ImgDatabase!$J:$J, MATCH(Character[[#This Row],[NameHelper]], ImgDatabase!$E:$E, 0)), "")</f>
        <v>#VALUE!</v>
      </c>
      <c r="AC6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12</v>
      </c>
      <c r="AE66" s="86" t="e" vm="55">
        <f>IFERROR(INDEX(ImgDatabase!$M:$M, MATCH(Character[[#This Row],[NameHelper]], ImgDatabase!$E:$E, 0)), "")</f>
        <v>#VALUE!</v>
      </c>
      <c r="AF6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66" s="86" t="e" vm="135">
        <f>IFERROR(INDEX(ImgDatabase!$N:$N, MATCH(Character[[#This Row],[NameHelper]], ImgDatabase!$E:$E, 0)), "")</f>
        <v>#VALUE!</v>
      </c>
      <c r="AI6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6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6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6" s="53" t="e" vm="115">
        <f>IFERROR(INDEX(ImgDatabase!$L:$L, MATCH(Character[[#This Row],[NameHelper]], ImgDatabase!$E:$E, 0)), "")</f>
        <v>#VALUE!</v>
      </c>
      <c r="AO6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6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6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64</v>
      </c>
      <c r="AS6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6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66" s="92">
        <f t="shared" si="3"/>
        <v>64</v>
      </c>
      <c r="AV66" s="93">
        <f t="shared" si="4"/>
        <v>22</v>
      </c>
      <c r="AW66" s="94">
        <f t="shared" si="5"/>
        <v>6</v>
      </c>
      <c r="AY6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6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1150000</v>
      </c>
      <c r="BB6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66" s="140">
        <f>SUM(Table40[[#This Row],[Ascension
Cost]:[Talent Cost
(Burst)]])</f>
        <v>4150490</v>
      </c>
      <c r="BE6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6" s="78">
        <f>SUM(Table53[[#This Row],[NA]:[Burst]])</f>
        <v>3</v>
      </c>
    </row>
    <row r="67" spans="1:60" ht="30" customHeight="1" x14ac:dyDescent="0.25">
      <c r="A67" s="79">
        <f>SUBTOTAL(3,$D$3:Character[[#This Row],[NameHelper]])</f>
        <v>65</v>
      </c>
      <c r="B67" s="80" t="e" vm="871">
        <f>IFERROR(INDEX(ImgDatabase!$D:$D, MATCH(Character[[#This Row],[NameHelper]], ImgDatabase!$E:$E, 0)), "")</f>
        <v>#VALUE!</v>
      </c>
      <c r="C67" s="81" t="s">
        <v>433</v>
      </c>
      <c r="D67" s="81" t="s">
        <v>433</v>
      </c>
      <c r="E67" s="53" t="e" vm="112">
        <f>IFERROR(INDEX(ImgDatabase!$G:$G, MATCH(Character[[#This Row],[NameHelper]], ImgDatabase!$E:$E, 0)), "")</f>
        <v>#VALUE!</v>
      </c>
      <c r="F67" s="53" t="e" vm="348">
        <f>IFERROR(INDEX(CharacterDetailsImg[Weapon Type], MATCH(Character[[#This Row],[NameHelper]], CharacterDetailsImg[Name], 0)), "")</f>
        <v>#VALUE!</v>
      </c>
      <c r="G67" s="82">
        <f>IFERROR(INDEX(CharacterDetailsImg[Released Version], MATCH(Character[[#This Row],[NameHelper]], CharacterDetailsImg[Name], 0)), "")</f>
        <v>1.1000000000000001</v>
      </c>
      <c r="H67" s="51">
        <v>0</v>
      </c>
      <c r="I67" s="41">
        <v>0</v>
      </c>
      <c r="J67" s="41">
        <v>0</v>
      </c>
      <c r="K67" s="52">
        <v>0</v>
      </c>
      <c r="M67" s="83">
        <v>90</v>
      </c>
      <c r="N67" s="83">
        <v>10</v>
      </c>
      <c r="O67" s="84">
        <v>10</v>
      </c>
      <c r="P67" s="85">
        <v>10</v>
      </c>
      <c r="R6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7" s="86" t="e" vm="337">
        <f>IF(Character[[#This Row],[Name]]="Traveler","",IFERROR(INDEX(ImgDatabase!$I:$I,MATCH(Character[[#This Row],[NameHelper]],ImgDatabase!$E:$E,0)),""))</f>
        <v>#VALUE!</v>
      </c>
      <c r="U6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7" s="88" t="e" vm="351">
        <f>IF(Character[[#This Row],[Name]]="Traveler","",IFERROR(INDEX(ImgDatabase!$K:$K, MATCH(Character[[#This Row],[NameHelper]], ImgDatabase!$E:$E, 0)), ""))</f>
        <v>#VALUE!</v>
      </c>
      <c r="X67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6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6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67" s="95" t="e" vm="380">
        <f>IFERROR(INDEX(ImgDatabase!$J:$J, MATCH(Character[[#This Row],[NameHelper]], ImgDatabase!$E:$E, 0)), "")</f>
        <v>#VALUE!</v>
      </c>
      <c r="AC6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67" s="66" t="e" vm="450">
        <f>IFERROR(INDEX(ImgDatabase!$M:$M, MATCH(Character[[#This Row],[NameHelper]], ImgDatabase!$E:$E, 0)), "")</f>
        <v>#VALUE!</v>
      </c>
      <c r="AF6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67" s="66" t="e" vm="117">
        <f>IFERROR(INDEX(ImgDatabase!$N:$N, MATCH(Character[[#This Row],[NameHelper]], ImgDatabase!$E:$E, 0)), "")</f>
        <v>#VALUE!</v>
      </c>
      <c r="AI6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6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6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6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7" s="67" t="e" vm="435">
        <f>IFERROR(INDEX(ImgDatabase!$L:$L, MATCH(Character[[#This Row],[NameHelper]], ImgDatabase!$E:$E, 0)), "")</f>
        <v>#VALUE!</v>
      </c>
      <c r="AO6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6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6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6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6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6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67" s="73">
        <f t="shared" ref="AU67:AU89" si="6">SUM(AO67,AR67)</f>
        <v>0</v>
      </c>
      <c r="AV67" s="74">
        <f t="shared" ref="AV67:AV89" si="7">SUM(AP67,AS67)</f>
        <v>0</v>
      </c>
      <c r="AW67" s="75">
        <f t="shared" ref="AW67:AW89" si="8">SUM(AQ67,AT67)</f>
        <v>0</v>
      </c>
      <c r="AY6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6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6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6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67" s="143">
        <f>SUM(Table40[[#This Row],[Ascension
Cost]:[Talent Cost
(Burst)]])</f>
        <v>0</v>
      </c>
      <c r="BE6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6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6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67" s="78">
        <f>SUM(Table53[[#This Row],[NA]:[Burst]])</f>
        <v>0</v>
      </c>
    </row>
    <row r="68" spans="1:60" ht="30" customHeight="1" x14ac:dyDescent="0.25">
      <c r="A68" s="79">
        <f>SUBTOTAL(3,$D$3:Character[[#This Row],[NameHelper]])</f>
        <v>66</v>
      </c>
      <c r="B68" s="80" t="e" vm="872">
        <f>IFERROR(INDEX(ImgDatabase!$D:$D, MATCH(Character[[#This Row],[NameHelper]], ImgDatabase!$E:$E, 0)), "")</f>
        <v>#VALUE!</v>
      </c>
      <c r="C68" s="81" t="s">
        <v>563</v>
      </c>
      <c r="D68" s="81" t="s">
        <v>563</v>
      </c>
      <c r="E68" s="53" t="e" vm="50">
        <f>IFERROR(INDEX(ImgDatabase!$G:$G, MATCH(Character[[#This Row],[NameHelper]], ImgDatabase!$E:$E, 0)), "")</f>
        <v>#VALUE!</v>
      </c>
      <c r="F68" s="53" t="e" vm="546">
        <f>IFERROR(INDEX(CharacterDetailsImg[Weapon Type], MATCH(Character[[#This Row],[NameHelper]], CharacterDetailsImg[Name], 0)), "")</f>
        <v>#VALUE!</v>
      </c>
      <c r="G68" s="82">
        <f>IFERROR(INDEX(CharacterDetailsImg[Released Version], MATCH(Character[[#This Row],[NameHelper]], CharacterDetailsImg[Name], 0)), "")</f>
        <v>2.2000000000000002</v>
      </c>
      <c r="H68" s="51">
        <v>21</v>
      </c>
      <c r="I68" s="41">
        <v>1</v>
      </c>
      <c r="J68" s="41">
        <v>1</v>
      </c>
      <c r="K68" s="52">
        <v>1</v>
      </c>
      <c r="M68" s="83">
        <v>90</v>
      </c>
      <c r="N68" s="83">
        <v>10</v>
      </c>
      <c r="O68" s="84">
        <v>10</v>
      </c>
      <c r="P68" s="85">
        <v>10</v>
      </c>
      <c r="R6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68" s="86" t="e" vm="473">
        <f>IF(Character[[#This Row],[Name]]="Traveler","",IFERROR(INDEX(ImgDatabase!$I:$I,MATCH(Character[[#This Row],[NameHelper]],ImgDatabase!$E:$E,0)),""))</f>
        <v>#VALUE!</v>
      </c>
      <c r="U6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8" s="88" t="e" vm="226">
        <f>IF(Character[[#This Row],[Name]]="Traveler","",IFERROR(INDEX(ImgDatabase!$K:$K, MATCH(Character[[#This Row],[NameHelper]], ImgDatabase!$E:$E, 0)), ""))</f>
        <v>#VALUE!</v>
      </c>
      <c r="X6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8" s="88" t="e" vm="579">
        <f>IFERROR(INDEX(ImgDatabase!$J:$J, MATCH(Character[[#This Row],[NameHelper]], ImgDatabase!$E:$E, 0)), "")</f>
        <v>#VALUE!</v>
      </c>
      <c r="AC6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8" s="86" t="e" vm="618">
        <f>IFERROR(INDEX(ImgDatabase!$M:$M, MATCH(Character[[#This Row],[NameHelper]], ImgDatabase!$E:$E, 0)), "")</f>
        <v>#VALUE!</v>
      </c>
      <c r="AF6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68" s="86" t="e" vm="56">
        <f>IFERROR(INDEX(ImgDatabase!$N:$N, MATCH(Character[[#This Row],[NameHelper]], ImgDatabase!$E:$E, 0)), "")</f>
        <v>#VALUE!</v>
      </c>
      <c r="AI6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6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8" s="53" t="e" vm="54">
        <f>IFERROR(INDEX(ImgDatabase!$L:$L, MATCH(Character[[#This Row],[NameHelper]], ImgDatabase!$E:$E, 0)), "")</f>
        <v>#VALUE!</v>
      </c>
      <c r="AO6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6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6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8" s="92">
        <f t="shared" si="6"/>
        <v>129</v>
      </c>
      <c r="AV68" s="93">
        <f t="shared" si="7"/>
        <v>96</v>
      </c>
      <c r="AW68" s="94">
        <f t="shared" si="8"/>
        <v>33</v>
      </c>
      <c r="AY6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6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8" s="140">
        <f>SUM(Table40[[#This Row],[Ascension
Cost]:[Talent Cost
(Burst)]])</f>
        <v>7003020</v>
      </c>
      <c r="BE6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8" s="78">
        <f>SUM(Table53[[#This Row],[NA]:[Burst]])</f>
        <v>3</v>
      </c>
    </row>
    <row r="69" spans="1:60" ht="30" customHeight="1" x14ac:dyDescent="0.25">
      <c r="A69" s="79">
        <f>SUBTOTAL(3,$D$3:Character[[#This Row],[NameHelper]])</f>
        <v>67</v>
      </c>
      <c r="B69" s="80" t="e" vm="873">
        <f>IFERROR(INDEX(ImgDatabase!$D:$D, MATCH(Character[[#This Row],[NameHelper]], ImgDatabase!$E:$E, 0)), "")</f>
        <v>#VALUE!</v>
      </c>
      <c r="C69" s="81" t="s">
        <v>439</v>
      </c>
      <c r="D69" s="81" t="s">
        <v>439</v>
      </c>
      <c r="E69" s="53" t="e" vm="28">
        <f>IFERROR(INDEX(ImgDatabase!$G:$G, MATCH(Character[[#This Row],[NameHelper]], ImgDatabase!$E:$E, 0)), "")</f>
        <v>#VALUE!</v>
      </c>
      <c r="F69" s="53" t="e" vm="348">
        <f>IFERROR(INDEX(CharacterDetailsImg[Weapon Type], MATCH(Character[[#This Row],[NameHelper]], CharacterDetailsImg[Name], 0)), "")</f>
        <v>#VALUE!</v>
      </c>
      <c r="G69" s="82">
        <f>IFERROR(INDEX(CharacterDetailsImg[Released Version], MATCH(Character[[#This Row],[NameHelper]], CharacterDetailsImg[Name], 0)), "")</f>
        <v>3</v>
      </c>
      <c r="H69" s="51">
        <v>22</v>
      </c>
      <c r="I69" s="41">
        <v>1</v>
      </c>
      <c r="J69" s="41">
        <v>1</v>
      </c>
      <c r="K69" s="52">
        <v>1</v>
      </c>
      <c r="M69" s="83">
        <v>90</v>
      </c>
      <c r="N69" s="83">
        <v>10</v>
      </c>
      <c r="O69" s="84">
        <v>10</v>
      </c>
      <c r="P69" s="85">
        <v>10</v>
      </c>
      <c r="R6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411</v>
      </c>
      <c r="T69" s="86" t="e" vm="370">
        <f>IF(Character[[#This Row],[Name]]="Traveler","",IFERROR(INDEX(ImgDatabase!$I:$I,MATCH(Character[[#This Row],[NameHelper]],ImgDatabase!$E:$E,0)),""))</f>
        <v>#VALUE!</v>
      </c>
      <c r="U6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9" s="88" t="e" vm="391">
        <f>IF(Character[[#This Row],[Name]]="Traveler","",IFERROR(INDEX(ImgDatabase!$K:$K, MATCH(Character[[#This Row],[NameHelper]], ImgDatabase!$E:$E, 0)), ""))</f>
        <v>#VALUE!</v>
      </c>
      <c r="X69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6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6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69" s="95" t="e" vm="456">
        <f>IFERROR(INDEX(ImgDatabase!$J:$J, MATCH(Character[[#This Row],[NameHelper]], ImgDatabase!$E:$E, 0)), "")</f>
        <v>#VALUE!</v>
      </c>
      <c r="AC6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69" s="66" t="e" vm="251">
        <f>IFERROR(INDEX(ImgDatabase!$M:$M, MATCH(Character[[#This Row],[NameHelper]], ImgDatabase!$E:$E, 0)), "")</f>
        <v>#VALUE!</v>
      </c>
      <c r="AF6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69" s="66" t="e" vm="34">
        <f>IFERROR(INDEX(ImgDatabase!$N:$N, MATCH(Character[[#This Row],[NameHelper]], ImgDatabase!$E:$E, 0)), "")</f>
        <v>#VALUE!</v>
      </c>
      <c r="AI6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6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6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6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69" s="67" t="e" vm="272">
        <f>IFERROR(INDEX(ImgDatabase!$L:$L, MATCH(Character[[#This Row],[NameHelper]], ImgDatabase!$E:$E, 0)), "")</f>
        <v>#VALUE!</v>
      </c>
      <c r="AO6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6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6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6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6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6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69" s="73">
        <f t="shared" si="6"/>
        <v>129</v>
      </c>
      <c r="AV69" s="74">
        <f t="shared" si="7"/>
        <v>96</v>
      </c>
      <c r="AW69" s="75">
        <f t="shared" si="8"/>
        <v>33</v>
      </c>
      <c r="AY6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2042160</v>
      </c>
      <c r="AZ6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6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6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69" s="143">
        <f>SUM(Table40[[#This Row],[Ascension
Cost]:[Talent Cost
(Burst)]])</f>
        <v>6999660</v>
      </c>
      <c r="BE6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6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6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69" s="78">
        <f>SUM(Table53[[#This Row],[NA]:[Burst]])</f>
        <v>3</v>
      </c>
    </row>
    <row r="70" spans="1:60" ht="30" customHeight="1" x14ac:dyDescent="0.25">
      <c r="A70" s="79">
        <f>SUBTOTAL(3,$D$3:Character[[#This Row],[NameHelper]])</f>
        <v>68</v>
      </c>
      <c r="B70" s="80" t="e" vm="874">
        <f>IFERROR(INDEX(ImgDatabase!$D:$D, MATCH(Character[[#This Row],[NameHelper]], ImgDatabase!$E:$E, 0)), "")</f>
        <v>#VALUE!</v>
      </c>
      <c r="C70" s="81" t="s">
        <v>702</v>
      </c>
      <c r="D70" s="81" t="s">
        <v>304</v>
      </c>
      <c r="E70" s="53" t="e" vm="28">
        <f>IFERROR(INDEX(ImgDatabase!$G:$G, MATCH(Character[[#This Row],[NameHelper]], ImgDatabase!$E:$E, 0)), "")</f>
        <v>#VALUE!</v>
      </c>
      <c r="F70" s="53" t="e" vm="5">
        <f>IFERROR(INDEX(CharacterDetailsImg[Weapon Type], MATCH(Character[[#This Row],[NameHelper]], CharacterDetailsImg[Name], 0)), "")</f>
        <v>#VALUE!</v>
      </c>
      <c r="G70" s="82">
        <f>IFERROR(INDEX(CharacterDetailsImg[Released Version], MATCH(Character[[#This Row],[NameHelper]], CharacterDetailsImg[Name], 0)), "")</f>
        <v>3</v>
      </c>
      <c r="H70" s="51">
        <v>81</v>
      </c>
      <c r="I70" s="41">
        <v>1</v>
      </c>
      <c r="J70" s="41">
        <v>1</v>
      </c>
      <c r="K70" s="52">
        <v>1</v>
      </c>
      <c r="M70" s="83">
        <v>90</v>
      </c>
      <c r="N70" s="83">
        <v>10</v>
      </c>
      <c r="O70" s="84">
        <v>10</v>
      </c>
      <c r="P70" s="85">
        <v>10</v>
      </c>
      <c r="R7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70" s="86" t="str">
        <f>IF(Character[[#This Row],[Name]]="Traveler","",IFERROR(INDEX(ImgDatabase!$I:$I,MATCH(Character[[#This Row],[NameHelper]],ImgDatabase!$E:$E,0)),""))</f>
        <v/>
      </c>
      <c r="U70" s="87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0" s="88" t="str">
        <f>IF(Character[[#This Row],[Name]]="Traveler","",IFERROR(INDEX(ImgDatabase!$K:$K, MATCH(Character[[#This Row],[NameHelper]], ImgDatabase!$E:$E, 0)), ""))</f>
        <v/>
      </c>
      <c r="X70" s="61" t="str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/>
      </c>
      <c r="Y70" s="61" t="str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/>
      </c>
      <c r="Z70" s="89" t="str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/>
      </c>
      <c r="AB70" s="88" t="e" vm="198">
        <f>IFERROR(INDEX(ImgDatabase!$J:$J, MATCH(Character[[#This Row],[NameHelper]], ImgDatabase!$E:$E, 0)), "")</f>
        <v>#VALUE!</v>
      </c>
      <c r="AC7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0" s="86" t="e" vm="55">
        <f>IFERROR(INDEX(ImgDatabase!$M:$M, MATCH(Character[[#This Row],[NameHelper]], ImgDatabase!$E:$E, 0)), "")</f>
        <v>#VALUE!</v>
      </c>
      <c r="AF7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0" s="86" t="e" vm="293">
        <f>IFERROR(INDEX(ImgDatabase!$N:$N, MATCH(Character[[#This Row],[NameHelper]], ImgDatabase!$E:$E, 0)), "")</f>
        <v>#VALUE!</v>
      </c>
      <c r="AI7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0" s="53" t="e" vm="272">
        <f>IFERROR(INDEX(ImgDatabase!$L:$L, MATCH(Character[[#This Row],[NameHelper]], ImgDatabase!$E:$E, 0)), "")</f>
        <v>#VALUE!</v>
      </c>
      <c r="AO7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7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70" s="92">
        <f t="shared" si="6"/>
        <v>93</v>
      </c>
      <c r="AV70" s="93">
        <f t="shared" si="7"/>
        <v>66</v>
      </c>
      <c r="AW70" s="94">
        <f t="shared" si="8"/>
        <v>18</v>
      </c>
      <c r="AY7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7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7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70" s="140">
        <f>SUM(Table40[[#This Row],[Ascension
Cost]:[Talent Cost
(Burst)]])</f>
        <v>5605490</v>
      </c>
      <c r="BE7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0" s="78">
        <f>SUM(Table53[[#This Row],[NA]:[Burst]])</f>
        <v>3</v>
      </c>
    </row>
    <row r="71" spans="1:60" ht="30" customHeight="1" x14ac:dyDescent="0.25">
      <c r="A71" s="79">
        <f>SUBTOTAL(3,$D$3:Character[[#This Row],[NameHelper]])</f>
        <v>69</v>
      </c>
      <c r="B71" s="80" t="e" vm="875">
        <f>IFERROR(INDEX(ImgDatabase!$D:$D, MATCH(Character[[#This Row],[NameHelper]], ImgDatabase!$E:$E, 0)), "")</f>
        <v>#VALUE!</v>
      </c>
      <c r="C71" s="81" t="s">
        <v>702</v>
      </c>
      <c r="D71" s="81" t="s">
        <v>295</v>
      </c>
      <c r="E71" s="53" t="e" vm="91">
        <f>IFERROR(INDEX(ImgDatabase!$G:$G, MATCH(Character[[#This Row],[NameHelper]], ImgDatabase!$E:$E, 0)), "")</f>
        <v>#VALUE!</v>
      </c>
      <c r="F71" s="53" t="e" vm="5">
        <f>IFERROR(INDEX(CharacterDetailsImg[Weapon Type], MATCH(Character[[#This Row],[NameHelper]], CharacterDetailsImg[Name], 0)), "")</f>
        <v>#VALUE!</v>
      </c>
      <c r="G71" s="82">
        <f>IFERROR(INDEX(CharacterDetailsImg[Released Version], MATCH(Character[[#This Row],[NameHelper]], CharacterDetailsImg[Name], 0)), "")</f>
        <v>2</v>
      </c>
      <c r="H71" s="51">
        <v>81</v>
      </c>
      <c r="I71" s="41">
        <v>1</v>
      </c>
      <c r="J71" s="41">
        <v>4</v>
      </c>
      <c r="K71" s="52">
        <v>4</v>
      </c>
      <c r="M71" s="83">
        <v>90</v>
      </c>
      <c r="N71" s="83">
        <v>10</v>
      </c>
      <c r="O71" s="84">
        <v>10</v>
      </c>
      <c r="P71" s="85">
        <v>10</v>
      </c>
      <c r="R7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71" s="86" t="str">
        <f>IF(Character[[#This Row],[Name]]="Traveler","",IFERROR(INDEX(ImgDatabase!$I:$I,MATCH(Character[[#This Row],[NameHelper]],ImgDatabase!$E:$E,0)),""))</f>
        <v/>
      </c>
      <c r="U71" s="69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1" s="88" t="str">
        <f>IF(Character[[#This Row],[Name]]="Traveler","",IFERROR(INDEX(ImgDatabase!$K:$K, MATCH(Character[[#This Row],[NameHelper]], ImgDatabase!$E:$E, 0)), ""))</f>
        <v/>
      </c>
      <c r="X71" s="71" t="str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/>
      </c>
      <c r="Y71" s="71" t="str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/>
      </c>
      <c r="Z71" s="72" t="str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/>
      </c>
      <c r="AB71" s="95" t="e" vm="311">
        <f>IFERROR(INDEX(ImgDatabase!$J:$J, MATCH(Character[[#This Row],[NameHelper]], ImgDatabase!$E:$E, 0)), "")</f>
        <v>#VALUE!</v>
      </c>
      <c r="AC7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1" s="66" t="e" vm="55">
        <f>IFERROR(INDEX(ImgDatabase!$M:$M, MATCH(Character[[#This Row],[NameHelper]], ImgDatabase!$E:$E, 0)), "")</f>
        <v>#VALUE!</v>
      </c>
      <c r="AF7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1" s="66" t="e" vm="293">
        <f>IFERROR(INDEX(ImgDatabase!$N:$N, MATCH(Character[[#This Row],[NameHelper]], ImgDatabase!$E:$E, 0)), "")</f>
        <v>#VALUE!</v>
      </c>
      <c r="AI7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1" s="67" t="e" vm="184">
        <f>IFERROR(INDEX(ImgDatabase!$L:$L, MATCH(Character[[#This Row],[NameHelper]], ImgDatabase!$E:$E, 0)), "")</f>
        <v>#VALUE!</v>
      </c>
      <c r="AO7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52</v>
      </c>
      <c r="AT7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71" s="73">
        <f t="shared" si="6"/>
        <v>93</v>
      </c>
      <c r="AV71" s="74">
        <f t="shared" si="7"/>
        <v>52</v>
      </c>
      <c r="AW71" s="75">
        <f t="shared" si="8"/>
        <v>6</v>
      </c>
      <c r="AY7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7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1597500</v>
      </c>
      <c r="BB7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1597500</v>
      </c>
      <c r="BC71" s="143">
        <f>SUM(Table40[[#This Row],[Ascension
Cost]:[Talent Cost
(Burst)]])</f>
        <v>5495490</v>
      </c>
      <c r="BE7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1" s="78">
        <f>SUM(Table53[[#This Row],[NA]:[Burst]])</f>
        <v>3</v>
      </c>
    </row>
    <row r="72" spans="1:60" ht="30" customHeight="1" x14ac:dyDescent="0.25">
      <c r="A72" s="79">
        <f>SUBTOTAL(3,$D$3:Character[[#This Row],[NameHelper]])</f>
        <v>70</v>
      </c>
      <c r="B72" s="80" t="e" vm="876">
        <f>IFERROR(INDEX(ImgDatabase!$D:$D, MATCH(Character[[#This Row],[NameHelper]], ImgDatabase!$E:$E, 0)), "")</f>
        <v>#VALUE!</v>
      </c>
      <c r="C72" s="81" t="s">
        <v>702</v>
      </c>
      <c r="D72" s="81" t="s">
        <v>286</v>
      </c>
      <c r="E72" s="53" t="e" vm="6">
        <f>IFERROR(INDEX(ImgDatabase!$G:$G, MATCH(Character[[#This Row],[NameHelper]], ImgDatabase!$E:$E, 0)), "")</f>
        <v>#VALUE!</v>
      </c>
      <c r="F72" s="53" t="e" vm="5">
        <f>IFERROR(INDEX(CharacterDetailsImg[Weapon Type], MATCH(Character[[#This Row],[NameHelper]], CharacterDetailsImg[Name], 0)), "")</f>
        <v>#VALUE!</v>
      </c>
      <c r="G72" s="82">
        <f>IFERROR(INDEX(CharacterDetailsImg[Released Version], MATCH(Character[[#This Row],[NameHelper]], CharacterDetailsImg[Name], 0)), "")</f>
        <v>1.1000000000000001</v>
      </c>
      <c r="H72" s="51">
        <v>81</v>
      </c>
      <c r="I72" s="41">
        <v>1</v>
      </c>
      <c r="J72" s="41">
        <v>1</v>
      </c>
      <c r="K72" s="52">
        <v>1</v>
      </c>
      <c r="M72" s="83">
        <v>90</v>
      </c>
      <c r="N72" s="83">
        <v>10</v>
      </c>
      <c r="O72" s="84">
        <v>10</v>
      </c>
      <c r="P72" s="85">
        <v>10</v>
      </c>
      <c r="R7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72" s="86" t="str">
        <f>IF(Character[[#This Row],[Name]]="Traveler","",IFERROR(INDEX(ImgDatabase!$I:$I,MATCH(Character[[#This Row],[NameHelper]],ImgDatabase!$E:$E,0)),""))</f>
        <v/>
      </c>
      <c r="U72" s="87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2" s="88" t="str">
        <f>IF(Character[[#This Row],[Name]]="Traveler","",IFERROR(INDEX(ImgDatabase!$K:$K, MATCH(Character[[#This Row],[NameHelper]], ImgDatabase!$E:$E, 0)), ""))</f>
        <v/>
      </c>
      <c r="X72" s="61" t="str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/>
      </c>
      <c r="Y72" s="61" t="str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/>
      </c>
      <c r="Z72" s="89" t="str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/>
      </c>
      <c r="AB72" s="88" t="e" vm="282">
        <f>IFERROR(INDEX(ImgDatabase!$J:$J, MATCH(Character[[#This Row],[NameHelper]], ImgDatabase!$E:$E, 0)), "")</f>
        <v>#VALUE!</v>
      </c>
      <c r="AC7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2" s="86" t="e" vm="55">
        <f>IFERROR(INDEX(ImgDatabase!$M:$M, MATCH(Character[[#This Row],[NameHelper]], ImgDatabase!$E:$E, 0)), "")</f>
        <v>#VALUE!</v>
      </c>
      <c r="AF7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2" s="86" t="e" vm="293">
        <f>IFERROR(INDEX(ImgDatabase!$N:$N, MATCH(Character[[#This Row],[NameHelper]], ImgDatabase!$E:$E, 0)), "")</f>
        <v>#VALUE!</v>
      </c>
      <c r="AI7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2" s="53" t="e" vm="302">
        <f>IFERROR(INDEX(ImgDatabase!$L:$L, MATCH(Character[[#This Row],[NameHelper]], ImgDatabase!$E:$E, 0)), "")</f>
        <v>#VALUE!</v>
      </c>
      <c r="AO7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7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72" s="92">
        <f t="shared" si="6"/>
        <v>93</v>
      </c>
      <c r="AV72" s="93">
        <f t="shared" si="7"/>
        <v>66</v>
      </c>
      <c r="AW72" s="94">
        <f t="shared" si="8"/>
        <v>18</v>
      </c>
      <c r="AY7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7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7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72" s="140">
        <f>SUM(Table40[[#This Row],[Ascension
Cost]:[Talent Cost
(Burst)]])</f>
        <v>5605490</v>
      </c>
      <c r="BE7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2" s="78">
        <f>SUM(Table53[[#This Row],[NA]:[Burst]])</f>
        <v>3</v>
      </c>
    </row>
    <row r="73" spans="1:60" ht="30" customHeight="1" x14ac:dyDescent="0.25">
      <c r="A73" s="79">
        <f>SUBTOTAL(3,$D$3:Character[[#This Row],[NameHelper]])</f>
        <v>71</v>
      </c>
      <c r="B73" s="80" t="e" vm="877">
        <f>IFERROR(INDEX(ImgDatabase!$D:$D, MATCH(Character[[#This Row],[NameHelper]], ImgDatabase!$E:$E, 0)), "")</f>
        <v>#VALUE!</v>
      </c>
      <c r="C73" s="81" t="s">
        <v>702</v>
      </c>
      <c r="D73" s="81" t="s">
        <v>315</v>
      </c>
      <c r="E73" s="53" t="e" vm="112">
        <f>IFERROR(INDEX(ImgDatabase!$G:$G, MATCH(Character[[#This Row],[NameHelper]], ImgDatabase!$E:$E, 0)), "")</f>
        <v>#VALUE!</v>
      </c>
      <c r="F73" s="53" t="e" vm="5">
        <f>IFERROR(INDEX(CharacterDetailsImg[Weapon Type], MATCH(Character[[#This Row],[NameHelper]], CharacterDetailsImg[Name], 0)), "")</f>
        <v>#VALUE!</v>
      </c>
      <c r="G73" s="82">
        <f>IFERROR(INDEX(CharacterDetailsImg[Released Version], MATCH(Character[[#This Row],[NameHelper]], CharacterDetailsImg[Name], 0)), "")</f>
        <v>4</v>
      </c>
      <c r="H73" s="51">
        <v>81</v>
      </c>
      <c r="I73" s="41">
        <v>1</v>
      </c>
      <c r="J73" s="41">
        <v>1</v>
      </c>
      <c r="K73" s="52">
        <v>1</v>
      </c>
      <c r="M73" s="83">
        <v>90</v>
      </c>
      <c r="N73" s="83">
        <v>10</v>
      </c>
      <c r="O73" s="84">
        <v>10</v>
      </c>
      <c r="P73" s="85">
        <v>10</v>
      </c>
      <c r="R7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73" s="86" t="str">
        <f>IF(Character[[#This Row],[Name]]="Traveler","",IFERROR(INDEX(ImgDatabase!$I:$I,MATCH(Character[[#This Row],[NameHelper]],ImgDatabase!$E:$E,0)),""))</f>
        <v/>
      </c>
      <c r="U73" s="69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3" s="88" t="str">
        <f>IF(Character[[#This Row],[Name]]="Traveler","",IFERROR(INDEX(ImgDatabase!$K:$K, MATCH(Character[[#This Row],[NameHelper]], ImgDatabase!$E:$E, 0)), ""))</f>
        <v/>
      </c>
      <c r="X73" s="71" t="str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/>
      </c>
      <c r="Y73" s="71" t="str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/>
      </c>
      <c r="Z73" s="72" t="str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/>
      </c>
      <c r="AB73" s="95" t="e" vm="328">
        <f>IFERROR(INDEX(ImgDatabase!$J:$J, MATCH(Character[[#This Row],[NameHelper]], ImgDatabase!$E:$E, 0)), "")</f>
        <v>#VALUE!</v>
      </c>
      <c r="AC7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3" s="66" t="e" vm="55">
        <f>IFERROR(INDEX(ImgDatabase!$M:$M, MATCH(Character[[#This Row],[NameHelper]], ImgDatabase!$E:$E, 0)), "")</f>
        <v>#VALUE!</v>
      </c>
      <c r="AF7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3" s="66" t="e" vm="293">
        <f>IFERROR(INDEX(ImgDatabase!$N:$N, MATCH(Character[[#This Row],[NameHelper]], ImgDatabase!$E:$E, 0)), "")</f>
        <v>#VALUE!</v>
      </c>
      <c r="AI7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3" s="67" t="e" vm="95">
        <f>IFERROR(INDEX(ImgDatabase!$L:$L, MATCH(Character[[#This Row],[NameHelper]], ImgDatabase!$E:$E, 0)), "")</f>
        <v>#VALUE!</v>
      </c>
      <c r="AO7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7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73" s="73">
        <f t="shared" si="6"/>
        <v>93</v>
      </c>
      <c r="AV73" s="74">
        <f t="shared" si="7"/>
        <v>66</v>
      </c>
      <c r="AW73" s="75">
        <f t="shared" si="8"/>
        <v>18</v>
      </c>
      <c r="AY7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7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7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73" s="143">
        <f>SUM(Table40[[#This Row],[Ascension
Cost]:[Talent Cost
(Burst)]])</f>
        <v>5605490</v>
      </c>
      <c r="BE7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3" s="78">
        <f>SUM(Table53[[#This Row],[NA]:[Burst]])</f>
        <v>3</v>
      </c>
    </row>
    <row r="74" spans="1:60" ht="30" customHeight="1" x14ac:dyDescent="0.25">
      <c r="A74" s="79">
        <f>SUBTOTAL(3,$D$3:Character[[#This Row],[NameHelper]])</f>
        <v>72</v>
      </c>
      <c r="B74" s="80" t="e" vm="878">
        <f>IFERROR(INDEX(ImgDatabase!$D:$D, MATCH(Character[[#This Row],[NameHelper]], ImgDatabase!$E:$E, 0)), "")</f>
        <v>#VALUE!</v>
      </c>
      <c r="C74" s="81" t="s">
        <v>702</v>
      </c>
      <c r="D74" s="81" t="s">
        <v>276</v>
      </c>
      <c r="E74" s="53" t="e" vm="131">
        <f>IFERROR(INDEX(ImgDatabase!$G:$G, MATCH(Character[[#This Row],[NameHelper]], ImgDatabase!$E:$E, 0)), "")</f>
        <v>#VALUE!</v>
      </c>
      <c r="F74" s="53" t="e" vm="5">
        <f>IFERROR(INDEX(CharacterDetailsImg[Weapon Type], MATCH(Character[[#This Row],[NameHelper]], CharacterDetailsImg[Name], 0)), "")</f>
        <v>#VALUE!</v>
      </c>
      <c r="G74" s="82">
        <f>IFERROR(INDEX(CharacterDetailsImg[Released Version], MATCH(Character[[#This Row],[NameHelper]], CharacterDetailsImg[Name], 0)), "")</f>
        <v>1</v>
      </c>
      <c r="H74" s="51">
        <v>81</v>
      </c>
      <c r="I74" s="41">
        <v>1</v>
      </c>
      <c r="J74" s="41">
        <v>1</v>
      </c>
      <c r="K74" s="52">
        <v>1</v>
      </c>
      <c r="M74" s="83">
        <v>90</v>
      </c>
      <c r="N74" s="83">
        <v>10</v>
      </c>
      <c r="O74" s="84">
        <v>10</v>
      </c>
      <c r="P74" s="85">
        <v>10</v>
      </c>
      <c r="R7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162</v>
      </c>
      <c r="T74" s="86" t="str">
        <f>IF(Character[[#This Row],[Name]]="Traveler","",IFERROR(INDEX(ImgDatabase!$I:$I,MATCH(Character[[#This Row],[NameHelper]],ImgDatabase!$E:$E,0)),""))</f>
        <v/>
      </c>
      <c r="U74" s="87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4" s="88" t="str">
        <f>IF(Character[[#This Row],[Name]]="Traveler","",IFERROR(INDEX(ImgDatabase!$K:$K, MATCH(Character[[#This Row],[NameHelper]], ImgDatabase!$E:$E, 0)), ""))</f>
        <v/>
      </c>
      <c r="X74" s="61" t="str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/>
      </c>
      <c r="Y74" s="61" t="str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/>
      </c>
      <c r="Z74" s="89" t="str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/>
      </c>
      <c r="AB74" s="88" t="e" vm="292">
        <f>IFERROR(INDEX(ImgDatabase!$J:$J, MATCH(Character[[#This Row],[NameHelper]], ImgDatabase!$E:$E, 0)), "")</f>
        <v>#VALUE!</v>
      </c>
      <c r="AC7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4" s="86" t="e" vm="55">
        <f>IFERROR(INDEX(ImgDatabase!$M:$M, MATCH(Character[[#This Row],[NameHelper]], ImgDatabase!$E:$E, 0)), "")</f>
        <v>#VALUE!</v>
      </c>
      <c r="AF7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4" s="86" t="e" vm="293">
        <f>IFERROR(INDEX(ImgDatabase!$N:$N, MATCH(Character[[#This Row],[NameHelper]], ImgDatabase!$E:$E, 0)), "")</f>
        <v>#VALUE!</v>
      </c>
      <c r="AI7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4" s="53" t="e" vm="10">
        <f>IFERROR(INDEX(ImgDatabase!$L:$L, MATCH(Character[[#This Row],[NameHelper]], ImgDatabase!$E:$E, 0)), "")</f>
        <v>#VALUE!</v>
      </c>
      <c r="AO7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7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74" s="92">
        <f t="shared" si="6"/>
        <v>93</v>
      </c>
      <c r="AV74" s="93">
        <f t="shared" si="7"/>
        <v>66</v>
      </c>
      <c r="AW74" s="94">
        <f t="shared" si="8"/>
        <v>18</v>
      </c>
      <c r="AY7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647990</v>
      </c>
      <c r="AZ7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7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74" s="140">
        <f>SUM(Table40[[#This Row],[Ascension
Cost]:[Talent Cost
(Burst)]])</f>
        <v>5605490</v>
      </c>
      <c r="BE7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4" s="78">
        <f>SUM(Table53[[#This Row],[NA]:[Burst]])</f>
        <v>3</v>
      </c>
    </row>
    <row r="75" spans="1:60" ht="30" customHeight="1" x14ac:dyDescent="0.25">
      <c r="A75" s="79">
        <f>SUBTOTAL(3,$D$3:Character[[#This Row],[NameHelper]])</f>
        <v>73</v>
      </c>
      <c r="B75" s="80" t="e" vm="879">
        <f>IFERROR(INDEX(ImgDatabase!$D:$D, MATCH(Character[[#This Row],[NameHelper]], ImgDatabase!$E:$E, 0)), "")</f>
        <v>#VALUE!</v>
      </c>
      <c r="C75" s="81" t="s">
        <v>444</v>
      </c>
      <c r="D75" s="81" t="s">
        <v>444</v>
      </c>
      <c r="E75" s="53" t="e" vm="131">
        <f>IFERROR(INDEX(ImgDatabase!$G:$G, MATCH(Character[[#This Row],[NameHelper]], ImgDatabase!$E:$E, 0)), "")</f>
        <v>#VALUE!</v>
      </c>
      <c r="F75" s="53" t="e" vm="348">
        <f>IFERROR(INDEX(CharacterDetailsImg[Weapon Type], MATCH(Character[[#This Row],[NameHelper]], CharacterDetailsImg[Name], 0)), "")</f>
        <v>#VALUE!</v>
      </c>
      <c r="G75" s="82">
        <f>IFERROR(INDEX(CharacterDetailsImg[Released Version], MATCH(Character[[#This Row],[NameHelper]], CharacterDetailsImg[Name], 0)), "")</f>
        <v>1</v>
      </c>
      <c r="H75" s="51">
        <v>90</v>
      </c>
      <c r="I75" s="41">
        <v>1</v>
      </c>
      <c r="J75" s="41">
        <v>9</v>
      </c>
      <c r="K75" s="52">
        <v>9</v>
      </c>
      <c r="M75" s="83">
        <v>90</v>
      </c>
      <c r="N75" s="83">
        <v>10</v>
      </c>
      <c r="O75" s="84">
        <v>10</v>
      </c>
      <c r="P75" s="85">
        <v>10</v>
      </c>
      <c r="R7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5" s="86" t="e" vm="132">
        <f>IF(Character[[#This Row],[Name]]="Traveler","",IFERROR(INDEX(ImgDatabase!$I:$I,MATCH(Character[[#This Row],[NameHelper]],ImgDatabase!$E:$E,0)),""))</f>
        <v>#VALUE!</v>
      </c>
      <c r="U7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5" s="88" t="e" vm="9">
        <f>IF(Character[[#This Row],[Name]]="Traveler","",IFERROR(INDEX(ImgDatabase!$K:$K, MATCH(Character[[#This Row],[NameHelper]], ImgDatabase!$E:$E, 0)), ""))</f>
        <v>#VALUE!</v>
      </c>
      <c r="X75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7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7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75" s="95" t="e" vm="282">
        <f>IFERROR(INDEX(ImgDatabase!$J:$J, MATCH(Character[[#This Row],[NameHelper]], ImgDatabase!$E:$E, 0)), "")</f>
        <v>#VALUE!</v>
      </c>
      <c r="AC7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75" s="66" t="e" vm="11">
        <f>IFERROR(INDEX(ImgDatabase!$M:$M, MATCH(Character[[#This Row],[NameHelper]], ImgDatabase!$E:$E, 0)), "")</f>
        <v>#VALUE!</v>
      </c>
      <c r="AF7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5" s="66" t="e" vm="135">
        <f>IFERROR(INDEX(ImgDatabase!$N:$N, MATCH(Character[[#This Row],[NameHelper]], ImgDatabase!$E:$E, 0)), "")</f>
        <v>#VALUE!</v>
      </c>
      <c r="AI7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5" s="67" t="e" vm="462">
        <f>IFERROR(INDEX(ImgDatabase!$L:$L, MATCH(Character[[#This Row],[NameHelper]], ImgDatabase!$E:$E, 0)), "")</f>
        <v>#VALUE!</v>
      </c>
      <c r="AO7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7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7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75" s="73">
        <f t="shared" si="6"/>
        <v>55</v>
      </c>
      <c r="AV75" s="74">
        <f t="shared" si="7"/>
        <v>22</v>
      </c>
      <c r="AW75" s="75">
        <f t="shared" si="8"/>
        <v>6</v>
      </c>
      <c r="AY7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7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7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75" s="143">
        <f>SUM(Table40[[#This Row],[Ascension
Cost]:[Talent Cost
(Burst)]])</f>
        <v>3052500</v>
      </c>
      <c r="BE7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5" s="78">
        <f>SUM(Table53[[#This Row],[NA]:[Burst]])</f>
        <v>3</v>
      </c>
    </row>
    <row r="76" spans="1:60" ht="30" customHeight="1" x14ac:dyDescent="0.25">
      <c r="A76" s="79">
        <f>SUBTOTAL(3,$D$3:Character[[#This Row],[NameHelper]])</f>
        <v>74</v>
      </c>
      <c r="B76" s="80" t="e" vm="880">
        <f>IFERROR(INDEX(ImgDatabase!$D:$D, MATCH(Character[[#This Row],[NameHelper]], ImgDatabase!$E:$E, 0)), "")</f>
        <v>#VALUE!</v>
      </c>
      <c r="C76" s="81" t="s">
        <v>537</v>
      </c>
      <c r="D76" s="81" t="s">
        <v>537</v>
      </c>
      <c r="E76" s="53" t="e" vm="131">
        <f>IFERROR(INDEX(ImgDatabase!$G:$G, MATCH(Character[[#This Row],[NameHelper]], ImgDatabase!$E:$E, 0)), "")</f>
        <v>#VALUE!</v>
      </c>
      <c r="F76" s="53" t="e" vm="552">
        <f>IFERROR(INDEX(CharacterDetailsImg[Weapon Type], MATCH(Character[[#This Row],[NameHelper]], CharacterDetailsImg[Name], 0)), "")</f>
        <v>#VALUE!</v>
      </c>
      <c r="G76" s="82">
        <f>IFERROR(INDEX(CharacterDetailsImg[Released Version], MATCH(Character[[#This Row],[NameHelper]], CharacterDetailsImg[Name], 0)), "")</f>
        <v>3.3</v>
      </c>
      <c r="H76" s="51">
        <v>90</v>
      </c>
      <c r="I76" s="41">
        <v>10</v>
      </c>
      <c r="J76" s="41">
        <v>10</v>
      </c>
      <c r="K76" s="52">
        <v>10</v>
      </c>
      <c r="M76" s="83">
        <v>90</v>
      </c>
      <c r="N76" s="83">
        <v>10</v>
      </c>
      <c r="O76" s="84">
        <v>10</v>
      </c>
      <c r="P76" s="85">
        <v>10</v>
      </c>
      <c r="R7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6" s="86" t="e" vm="250">
        <f>IF(Character[[#This Row],[Name]]="Traveler","",IFERROR(INDEX(ImgDatabase!$I:$I,MATCH(Character[[#This Row],[NameHelper]],ImgDatabase!$E:$E,0)),""))</f>
        <v>#VALUE!</v>
      </c>
      <c r="U7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6" s="88" t="e" vm="271">
        <f>IF(Character[[#This Row],[Name]]="Traveler","",IFERROR(INDEX(ImgDatabase!$K:$K, MATCH(Character[[#This Row],[NameHelper]], ImgDatabase!$E:$E, 0)), ""))</f>
        <v>#VALUE!</v>
      </c>
      <c r="X7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7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7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76" s="88" t="e" vm="443">
        <f>IFERROR(INDEX(ImgDatabase!$J:$J, MATCH(Character[[#This Row],[NameHelper]], ImgDatabase!$E:$E, 0)), "")</f>
        <v>#VALUE!</v>
      </c>
      <c r="AC7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76" s="86" t="e" vm="371">
        <f>IFERROR(INDEX(ImgDatabase!$M:$M, MATCH(Character[[#This Row],[NameHelper]], ImgDatabase!$E:$E, 0)), "")</f>
        <v>#VALUE!</v>
      </c>
      <c r="AF7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6" s="86" t="e" vm="135">
        <f>IFERROR(INDEX(ImgDatabase!$N:$N, MATCH(Character[[#This Row],[NameHelper]], ImgDatabase!$E:$E, 0)), "")</f>
        <v>#VALUE!</v>
      </c>
      <c r="AI7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6" s="53" t="e" vm="184">
        <f>IFERROR(INDEX(ImgDatabase!$L:$L, MATCH(Character[[#This Row],[NameHelper]], ImgDatabase!$E:$E, 0)), "")</f>
        <v>#VALUE!</v>
      </c>
      <c r="AO7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7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7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76" s="92">
        <f t="shared" si="6"/>
        <v>0</v>
      </c>
      <c r="AV76" s="93">
        <f t="shared" si="7"/>
        <v>0</v>
      </c>
      <c r="AW76" s="94">
        <f t="shared" si="8"/>
        <v>0</v>
      </c>
      <c r="AY7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7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7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7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76" s="140">
        <f>SUM(Table40[[#This Row],[Ascension
Cost]:[Talent Cost
(Burst)]])</f>
        <v>0</v>
      </c>
      <c r="BE7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7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7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76" s="78">
        <f>SUM(Table53[[#This Row],[NA]:[Burst]])</f>
        <v>0</v>
      </c>
    </row>
    <row r="77" spans="1:60" ht="30" customHeight="1" x14ac:dyDescent="0.25">
      <c r="A77" s="79">
        <f>SUBTOTAL(3,$D$3:Character[[#This Row],[NameHelper]])</f>
        <v>75</v>
      </c>
      <c r="B77" s="80" t="e" vm="881">
        <f>IFERROR(INDEX(ImgDatabase!$D:$D, MATCH(Character[[#This Row],[NameHelper]], ImgDatabase!$E:$E, 0)), "")</f>
        <v>#VALUE!</v>
      </c>
      <c r="C77" s="81" t="s">
        <v>539</v>
      </c>
      <c r="D77" s="81" t="s">
        <v>539</v>
      </c>
      <c r="E77" s="53" t="e" vm="165">
        <f>IFERROR(INDEX(ImgDatabase!$G:$G, MATCH(Character[[#This Row],[NameHelper]], ImgDatabase!$E:$E, 0)), "")</f>
        <v>#VALUE!</v>
      </c>
      <c r="F77" s="53" t="e" vm="552">
        <f>IFERROR(INDEX(CharacterDetailsImg[Weapon Type], MATCH(Character[[#This Row],[NameHelper]], CharacterDetailsImg[Name], 0)), "")</f>
        <v>#VALUE!</v>
      </c>
      <c r="G77" s="82">
        <f>IFERROR(INDEX(CharacterDetailsImg[Released Version], MATCH(Character[[#This Row],[NameHelper]], CharacterDetailsImg[Name], 0)), "")</f>
        <v>4.0999999999999996</v>
      </c>
      <c r="H77" s="51">
        <v>0</v>
      </c>
      <c r="I77" s="41">
        <v>0</v>
      </c>
      <c r="J77" s="41">
        <v>0</v>
      </c>
      <c r="K77" s="52">
        <v>0</v>
      </c>
      <c r="M77" s="83">
        <v>90</v>
      </c>
      <c r="N77" s="83">
        <v>10</v>
      </c>
      <c r="O77" s="84">
        <v>10</v>
      </c>
      <c r="P77" s="85">
        <v>10</v>
      </c>
      <c r="R7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7" s="86" t="e" vm="560">
        <f>IF(Character[[#This Row],[Name]]="Traveler","",IFERROR(INDEX(ImgDatabase!$I:$I,MATCH(Character[[#This Row],[NameHelper]],ImgDatabase!$E:$E,0)),""))</f>
        <v>#VALUE!</v>
      </c>
      <c r="U7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7" s="88" t="e" vm="260">
        <f>IF(Character[[#This Row],[Name]]="Traveler","",IFERROR(INDEX(ImgDatabase!$K:$K, MATCH(Character[[#This Row],[NameHelper]], ImgDatabase!$E:$E, 0)), ""))</f>
        <v>#VALUE!</v>
      </c>
      <c r="X77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7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7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77" s="95" t="e" vm="433">
        <f>IFERROR(INDEX(ImgDatabase!$J:$J, MATCH(Character[[#This Row],[NameHelper]], ImgDatabase!$E:$E, 0)), "")</f>
        <v>#VALUE!</v>
      </c>
      <c r="AC7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77" s="66" t="e" vm="588">
        <f>IFERROR(INDEX(ImgDatabase!$M:$M, MATCH(Character[[#This Row],[NameHelper]], ImgDatabase!$E:$E, 0)), "")</f>
        <v>#VALUE!</v>
      </c>
      <c r="AF7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7" s="66" t="e" vm="169">
        <f>IFERROR(INDEX(ImgDatabase!$N:$N, MATCH(Character[[#This Row],[NameHelper]], ImgDatabase!$E:$E, 0)), "")</f>
        <v>#VALUE!</v>
      </c>
      <c r="AI7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7" s="67" t="e" vm="261">
        <f>IFERROR(INDEX(ImgDatabase!$L:$L, MATCH(Character[[#This Row],[NameHelper]], ImgDatabase!$E:$E, 0)), "")</f>
        <v>#VALUE!</v>
      </c>
      <c r="AO7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7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7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77" s="73">
        <f t="shared" si="6"/>
        <v>0</v>
      </c>
      <c r="AV77" s="74">
        <f t="shared" si="7"/>
        <v>0</v>
      </c>
      <c r="AW77" s="75">
        <f t="shared" si="8"/>
        <v>0</v>
      </c>
      <c r="AY7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7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7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7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77" s="143">
        <f>SUM(Table40[[#This Row],[Ascension
Cost]:[Talent Cost
(Burst)]])</f>
        <v>0</v>
      </c>
      <c r="BE7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7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7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77" s="78">
        <f>SUM(Table53[[#This Row],[NA]:[Burst]])</f>
        <v>0</v>
      </c>
    </row>
    <row r="78" spans="1:60" ht="30" customHeight="1" x14ac:dyDescent="0.25">
      <c r="A78" s="79">
        <f>SUBTOTAL(3,$D$3:Character[[#This Row],[NameHelper]])</f>
        <v>76</v>
      </c>
      <c r="B78" s="80" t="e" vm="882">
        <f>IFERROR(INDEX(ImgDatabase!$D:$D, MATCH(Character[[#This Row],[NameHelper]], ImgDatabase!$E:$E, 0)), "")</f>
        <v>#VALUE!</v>
      </c>
      <c r="C78" s="81" t="s">
        <v>565</v>
      </c>
      <c r="D78" s="81" t="s">
        <v>565</v>
      </c>
      <c r="E78" s="53" t="e" vm="50">
        <f>IFERROR(INDEX(ImgDatabase!$G:$G, MATCH(Character[[#This Row],[NameHelper]], ImgDatabase!$E:$E, 0)), "")</f>
        <v>#VALUE!</v>
      </c>
      <c r="F78" s="53" t="e" vm="546">
        <f>IFERROR(INDEX(CharacterDetailsImg[Weapon Type], MATCH(Character[[#This Row],[NameHelper]], CharacterDetailsImg[Name], 0)), "")</f>
        <v>#VALUE!</v>
      </c>
      <c r="G78" s="82">
        <f>IFERROR(INDEX(CharacterDetailsImg[Released Version], MATCH(Character[[#This Row],[NameHelper]], CharacterDetailsImg[Name], 0)), "")</f>
        <v>1</v>
      </c>
      <c r="H78" s="51">
        <v>90</v>
      </c>
      <c r="I78" s="41">
        <v>1</v>
      </c>
      <c r="J78" s="41">
        <v>9</v>
      </c>
      <c r="K78" s="52">
        <v>9</v>
      </c>
      <c r="M78" s="83">
        <v>90</v>
      </c>
      <c r="N78" s="83">
        <v>10</v>
      </c>
      <c r="O78" s="84">
        <v>10</v>
      </c>
      <c r="P78" s="85">
        <v>10</v>
      </c>
      <c r="R7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8" s="86" t="e" vm="51">
        <f>IF(Character[[#This Row],[Name]]="Traveler","",IFERROR(INDEX(ImgDatabase!$I:$I,MATCH(Character[[#This Row],[NameHelper]],ImgDatabase!$E:$E,0)),""))</f>
        <v>#VALUE!</v>
      </c>
      <c r="U7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8" s="88" t="e" vm="151">
        <f>IF(Character[[#This Row],[Name]]="Traveler","",IFERROR(INDEX(ImgDatabase!$K:$K, MATCH(Character[[#This Row],[NameHelper]], ImgDatabase!$E:$E, 0)), ""))</f>
        <v>#VALUE!</v>
      </c>
      <c r="X7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7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7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78" s="88" t="e" vm="531">
        <f>IFERROR(INDEX(ImgDatabase!$J:$J, MATCH(Character[[#This Row],[NameHelper]], ImgDatabase!$E:$E, 0)), "")</f>
        <v>#VALUE!</v>
      </c>
      <c r="AC7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78" s="86" t="e" vm="621">
        <f>IFERROR(INDEX(ImgDatabase!$M:$M, MATCH(Character[[#This Row],[NameHelper]], ImgDatabase!$E:$E, 0)), "")</f>
        <v>#VALUE!</v>
      </c>
      <c r="AF7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78" s="86" t="e" vm="56">
        <f>IFERROR(INDEX(ImgDatabase!$N:$N, MATCH(Character[[#This Row],[NameHelper]], ImgDatabase!$E:$E, 0)), "")</f>
        <v>#VALUE!</v>
      </c>
      <c r="AI7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7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8" s="53" t="e" vm="462">
        <f>IFERROR(INDEX(ImgDatabase!$L:$L, MATCH(Character[[#This Row],[NameHelper]], ImgDatabase!$E:$E, 0)), "")</f>
        <v>#VALUE!</v>
      </c>
      <c r="AO7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7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7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7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78" s="92">
        <f t="shared" si="6"/>
        <v>55</v>
      </c>
      <c r="AV78" s="93">
        <f t="shared" si="7"/>
        <v>22</v>
      </c>
      <c r="AW78" s="94">
        <f t="shared" si="8"/>
        <v>6</v>
      </c>
      <c r="AY7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7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7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78" s="140">
        <f>SUM(Table40[[#This Row],[Ascension
Cost]:[Talent Cost
(Burst)]])</f>
        <v>3052500</v>
      </c>
      <c r="BE7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8" s="78">
        <f>SUM(Table53[[#This Row],[NA]:[Burst]])</f>
        <v>3</v>
      </c>
    </row>
    <row r="79" spans="1:60" ht="30" customHeight="1" x14ac:dyDescent="0.25">
      <c r="A79" s="79">
        <f>SUBTOTAL(3,$D$3:Character[[#This Row],[NameHelper]])</f>
        <v>77</v>
      </c>
      <c r="B79" s="80" t="e" vm="883">
        <f>IFERROR(INDEX(ImgDatabase!$D:$D, MATCH(Character[[#This Row],[NameHelper]], ImgDatabase!$E:$E, 0)), "")</f>
        <v>#VALUE!</v>
      </c>
      <c r="C79" s="81" t="s">
        <v>541</v>
      </c>
      <c r="D79" s="81" t="s">
        <v>541</v>
      </c>
      <c r="E79" s="53" t="e" vm="131">
        <f>IFERROR(INDEX(ImgDatabase!$G:$G, MATCH(Character[[#This Row],[NameHelper]], ImgDatabase!$E:$E, 0)), "")</f>
        <v>#VALUE!</v>
      </c>
      <c r="F79" s="53" t="e" vm="552">
        <f>IFERROR(INDEX(CharacterDetailsImg[Weapon Type], MATCH(Character[[#This Row],[NameHelper]], CharacterDetailsImg[Name], 0)), "")</f>
        <v>#VALUE!</v>
      </c>
      <c r="G79" s="82">
        <f>IFERROR(INDEX(CharacterDetailsImg[Released Version], MATCH(Character[[#This Row],[NameHelper]], CharacterDetailsImg[Name], 0)), "")</f>
        <v>4.4000000000000004</v>
      </c>
      <c r="H79" s="51">
        <v>80</v>
      </c>
      <c r="I79" s="41">
        <v>1</v>
      </c>
      <c r="J79" s="41">
        <v>1</v>
      </c>
      <c r="K79" s="52">
        <v>1</v>
      </c>
      <c r="M79" s="83">
        <v>90</v>
      </c>
      <c r="N79" s="83">
        <v>10</v>
      </c>
      <c r="O79" s="84">
        <v>10</v>
      </c>
      <c r="P79" s="85">
        <v>10</v>
      </c>
      <c r="R7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172</v>
      </c>
      <c r="T79" s="86" t="e" vm="442">
        <f>IF(Character[[#This Row],[Name]]="Traveler","",IFERROR(INDEX(ImgDatabase!$I:$I,MATCH(Character[[#This Row],[NameHelper]],ImgDatabase!$E:$E,0)),""))</f>
        <v>#VALUE!</v>
      </c>
      <c r="U7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79" s="88" t="e" vm="338">
        <f>IF(Character[[#This Row],[Name]]="Traveler","",IFERROR(INDEX(ImgDatabase!$K:$K, MATCH(Character[[#This Row],[NameHelper]], ImgDatabase!$E:$E, 0)), ""))</f>
        <v>#VALUE!</v>
      </c>
      <c r="X79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7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7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79" s="95" t="e" vm="591">
        <f>IFERROR(INDEX(ImgDatabase!$J:$J, MATCH(Character[[#This Row],[NameHelper]], ImgDatabase!$E:$E, 0)), "")</f>
        <v>#VALUE!</v>
      </c>
      <c r="AC7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79" s="66" t="e" vm="592">
        <f>IFERROR(INDEX(ImgDatabase!$M:$M, MATCH(Character[[#This Row],[NameHelper]], ImgDatabase!$E:$E, 0)), "")</f>
        <v>#VALUE!</v>
      </c>
      <c r="AF7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H79" s="66" t="e" vm="135">
        <f>IFERROR(INDEX(ImgDatabase!$N:$N, MATCH(Character[[#This Row],[NameHelper]], ImgDatabase!$E:$E, 0)), "")</f>
        <v>#VALUE!</v>
      </c>
      <c r="AI7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7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7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7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79" s="67" t="e" vm="10">
        <f>IFERROR(INDEX(ImgDatabase!$L:$L, MATCH(Character[[#This Row],[NameHelper]], ImgDatabase!$E:$E, 0)), "")</f>
        <v>#VALUE!</v>
      </c>
      <c r="AO7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AP7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7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7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7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7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79" s="73">
        <f t="shared" si="6"/>
        <v>117</v>
      </c>
      <c r="AV79" s="74">
        <f t="shared" si="7"/>
        <v>66</v>
      </c>
      <c r="AW79" s="75">
        <f t="shared" si="8"/>
        <v>18</v>
      </c>
      <c r="AY7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804625</v>
      </c>
      <c r="AZ7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7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7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79" s="143">
        <f>SUM(Table40[[#This Row],[Ascension
Cost]:[Talent Cost
(Burst)]])</f>
        <v>5762125</v>
      </c>
      <c r="BE7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7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7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79" s="78">
        <f>SUM(Table53[[#This Row],[NA]:[Burst]])</f>
        <v>3</v>
      </c>
    </row>
    <row r="80" spans="1:60" ht="30" customHeight="1" x14ac:dyDescent="0.25">
      <c r="A80" s="79">
        <f>SUBTOTAL(3,$D$3:Character[[#This Row],[NameHelper]])</f>
        <v>78</v>
      </c>
      <c r="B80" s="80" t="e" vm="884">
        <f>IFERROR(INDEX(ImgDatabase!$D:$D, MATCH(Character[[#This Row],[NameHelper]], ImgDatabase!$E:$E, 0)), "")</f>
        <v>#VALUE!</v>
      </c>
      <c r="C80" s="81" t="s">
        <v>567</v>
      </c>
      <c r="D80" s="81" t="s">
        <v>567</v>
      </c>
      <c r="E80" s="53" t="e" vm="131">
        <f>IFERROR(INDEX(ImgDatabase!$G:$G, MATCH(Character[[#This Row],[NameHelper]], ImgDatabase!$E:$E, 0)), "")</f>
        <v>#VALUE!</v>
      </c>
      <c r="F80" s="53" t="e" vm="546">
        <f>IFERROR(INDEX(CharacterDetailsImg[Weapon Type], MATCH(Character[[#This Row],[NameHelper]], CharacterDetailsImg[Name], 0)), "")</f>
        <v>#VALUE!</v>
      </c>
      <c r="G80" s="82">
        <f>IFERROR(INDEX(CharacterDetailsImg[Released Version], MATCH(Character[[#This Row],[NameHelper]], CharacterDetailsImg[Name], 0)), "")</f>
        <v>1.3</v>
      </c>
      <c r="H80" s="51">
        <v>0</v>
      </c>
      <c r="I80" s="41">
        <v>0</v>
      </c>
      <c r="J80" s="41">
        <v>0</v>
      </c>
      <c r="K80" s="52">
        <v>0</v>
      </c>
      <c r="M80" s="83">
        <v>90</v>
      </c>
      <c r="N80" s="83">
        <v>10</v>
      </c>
      <c r="O80" s="84">
        <v>10</v>
      </c>
      <c r="P80" s="85">
        <v>10</v>
      </c>
      <c r="R80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0" s="86" t="e" vm="598">
        <f>IF(Character[[#This Row],[Name]]="Traveler","",IFERROR(INDEX(ImgDatabase!$I:$I,MATCH(Character[[#This Row],[NameHelper]],ImgDatabase!$E:$E,0)),""))</f>
        <v>#VALUE!</v>
      </c>
      <c r="U80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0" s="88" t="e" vm="212">
        <f>IF(Character[[#This Row],[Name]]="Traveler","",IFERROR(INDEX(ImgDatabase!$K:$K, MATCH(Character[[#This Row],[NameHelper]], ImgDatabase!$E:$E, 0)), ""))</f>
        <v>#VALUE!</v>
      </c>
      <c r="X80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80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80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80" s="88" t="e" vm="408">
        <f>IFERROR(INDEX(ImgDatabase!$J:$J, MATCH(Character[[#This Row],[NameHelper]], ImgDatabase!$E:$E, 0)), "")</f>
        <v>#VALUE!</v>
      </c>
      <c r="AC80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80" s="86" t="e" vm="409">
        <f>IFERROR(INDEX(ImgDatabase!$M:$M, MATCH(Character[[#This Row],[NameHelper]], ImgDatabase!$E:$E, 0)), "")</f>
        <v>#VALUE!</v>
      </c>
      <c r="AF80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0" s="86" t="e" vm="135">
        <f>IFERROR(INDEX(ImgDatabase!$N:$N, MATCH(Character[[#This Row],[NameHelper]], ImgDatabase!$E:$E, 0)), "")</f>
        <v>#VALUE!</v>
      </c>
      <c r="AI80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0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0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0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0" s="53" t="e" vm="462">
        <f>IFERROR(INDEX(ImgDatabase!$L:$L, MATCH(Character[[#This Row],[NameHelper]], ImgDatabase!$E:$E, 0)), "")</f>
        <v>#VALUE!</v>
      </c>
      <c r="AO80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0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0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0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80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80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80" s="92">
        <f t="shared" si="6"/>
        <v>0</v>
      </c>
      <c r="AV80" s="93">
        <f t="shared" si="7"/>
        <v>0</v>
      </c>
      <c r="AW80" s="94">
        <f t="shared" si="8"/>
        <v>0</v>
      </c>
      <c r="AY80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0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80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80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80" s="140">
        <f>SUM(Table40[[#This Row],[Ascension
Cost]:[Talent Cost
(Burst)]])</f>
        <v>0</v>
      </c>
      <c r="BE80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80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80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80" s="78">
        <f>SUM(Table53[[#This Row],[NA]:[Burst]])</f>
        <v>0</v>
      </c>
    </row>
    <row r="81" spans="1:60" ht="30" customHeight="1" x14ac:dyDescent="0.25">
      <c r="A81" s="79">
        <f>SUBTOTAL(3,$D$3:Character[[#This Row],[NameHelper]])</f>
        <v>79</v>
      </c>
      <c r="B81" s="80" t="e" vm="885">
        <f>IFERROR(INDEX(ImgDatabase!$D:$D, MATCH(Character[[#This Row],[NameHelper]], ImgDatabase!$E:$E, 0)), "")</f>
        <v>#VALUE!</v>
      </c>
      <c r="C81" s="81" t="s">
        <v>342</v>
      </c>
      <c r="D81" s="81" t="s">
        <v>342</v>
      </c>
      <c r="E81" s="53" t="e" vm="112">
        <f>IFERROR(INDEX(ImgDatabase!$G:$G, MATCH(Character[[#This Row],[NameHelper]], ImgDatabase!$E:$E, 0)), "")</f>
        <v>#VALUE!</v>
      </c>
      <c r="F81" s="53" t="e" vm="5">
        <f>IFERROR(INDEX(CharacterDetailsImg[Weapon Type], MATCH(Character[[#This Row],[NameHelper]], CharacterDetailsImg[Name], 0)), "")</f>
        <v>#VALUE!</v>
      </c>
      <c r="G81" s="82">
        <f>IFERROR(INDEX(CharacterDetailsImg[Released Version], MATCH(Character[[#This Row],[NameHelper]], CharacterDetailsImg[Name], 0)), "")</f>
        <v>1</v>
      </c>
      <c r="H81" s="51">
        <v>90</v>
      </c>
      <c r="I81" s="41">
        <v>1</v>
      </c>
      <c r="J81" s="41">
        <v>9</v>
      </c>
      <c r="K81" s="52">
        <v>10</v>
      </c>
      <c r="M81" s="83">
        <v>90</v>
      </c>
      <c r="N81" s="83">
        <v>10</v>
      </c>
      <c r="O81" s="84">
        <v>10</v>
      </c>
      <c r="P81" s="85">
        <v>10</v>
      </c>
      <c r="R81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1" s="86" t="e" vm="337">
        <f>IF(Character[[#This Row],[Name]]="Traveler","",IFERROR(INDEX(ImgDatabase!$I:$I,MATCH(Character[[#This Row],[NameHelper]],ImgDatabase!$E:$E,0)),""))</f>
        <v>#VALUE!</v>
      </c>
      <c r="U81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1" s="88" t="e" vm="338">
        <f>IF(Character[[#This Row],[Name]]="Traveler","",IFERROR(INDEX(ImgDatabase!$K:$K, MATCH(Character[[#This Row],[NameHelper]], ImgDatabase!$E:$E, 0)), ""))</f>
        <v>#VALUE!</v>
      </c>
      <c r="X81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81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81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81" s="95" t="e" vm="282">
        <f>IFERROR(INDEX(ImgDatabase!$J:$J, MATCH(Character[[#This Row],[NameHelper]], ImgDatabase!$E:$E, 0)), "")</f>
        <v>#VALUE!</v>
      </c>
      <c r="AC81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81" s="66" t="e" vm="339">
        <f>IFERROR(INDEX(ImgDatabase!$M:$M, MATCH(Character[[#This Row],[NameHelper]], ImgDatabase!$E:$E, 0)), "")</f>
        <v>#VALUE!</v>
      </c>
      <c r="AF81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1" s="66" t="e" vm="117">
        <f>IFERROR(INDEX(ImgDatabase!$N:$N, MATCH(Character[[#This Row],[NameHelper]], ImgDatabase!$E:$E, 0)), "")</f>
        <v>#VALUE!</v>
      </c>
      <c r="AI81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1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1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1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1" s="67" t="e" vm="133">
        <f>IFERROR(INDEX(ImgDatabase!$L:$L, MATCH(Character[[#This Row],[NameHelper]], ImgDatabase!$E:$E, 0)), "")</f>
        <v>#VALUE!</v>
      </c>
      <c r="AO81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1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1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1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81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81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81" s="73">
        <f t="shared" si="6"/>
        <v>43</v>
      </c>
      <c r="AV81" s="74">
        <f t="shared" si="7"/>
        <v>22</v>
      </c>
      <c r="AW81" s="75">
        <f t="shared" si="8"/>
        <v>6</v>
      </c>
      <c r="AY81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1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1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81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81" s="143">
        <f>SUM(Table40[[#This Row],[Ascension
Cost]:[Talent Cost
(Burst)]])</f>
        <v>2352500</v>
      </c>
      <c r="BE81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1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1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81" s="78">
        <f>SUM(Table53[[#This Row],[NA]:[Burst]])</f>
        <v>2</v>
      </c>
    </row>
    <row r="82" spans="1:60" ht="30" customHeight="1" x14ac:dyDescent="0.25">
      <c r="A82" s="79">
        <f>SUBTOTAL(3,$D$3:Character[[#This Row],[NameHelper]])</f>
        <v>80</v>
      </c>
      <c r="B82" s="80" t="e" vm="886">
        <f>IFERROR(INDEX(ImgDatabase!$D:$D, MATCH(Character[[#This Row],[NameHelper]], ImgDatabase!$E:$E, 0)), "")</f>
        <v>#VALUE!</v>
      </c>
      <c r="C82" s="81" t="s">
        <v>505</v>
      </c>
      <c r="D82" s="81" t="s">
        <v>505</v>
      </c>
      <c r="E82" s="53" t="e" vm="50">
        <f>IFERROR(INDEX(ImgDatabase!$G:$G, MATCH(Character[[#This Row],[NameHelper]], ImgDatabase!$E:$E, 0)), "")</f>
        <v>#VALUE!</v>
      </c>
      <c r="F82" s="53" t="e" vm="479">
        <f>IFERROR(INDEX(CharacterDetailsImg[Weapon Type], MATCH(Character[[#This Row],[NameHelper]], CharacterDetailsImg[Name], 0)), "")</f>
        <v>#VALUE!</v>
      </c>
      <c r="G82" s="82">
        <f>IFERROR(INDEX(CharacterDetailsImg[Released Version], MATCH(Character[[#This Row],[NameHelper]], CharacterDetailsImg[Name], 0)), "")</f>
        <v>1.1000000000000001</v>
      </c>
      <c r="H82" s="51">
        <v>40</v>
      </c>
      <c r="I82" s="41">
        <v>1</v>
      </c>
      <c r="J82" s="41">
        <v>1</v>
      </c>
      <c r="K82" s="52">
        <v>1</v>
      </c>
      <c r="M82" s="83">
        <v>90</v>
      </c>
      <c r="N82" s="83">
        <v>10</v>
      </c>
      <c r="O82" s="84">
        <v>10</v>
      </c>
      <c r="P82" s="85">
        <v>10</v>
      </c>
      <c r="R82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384</v>
      </c>
      <c r="T82" s="86" t="e" vm="51">
        <f>IF(Character[[#This Row],[Name]]="Traveler","",IFERROR(INDEX(ImgDatabase!$I:$I,MATCH(Character[[#This Row],[NameHelper]],ImgDatabase!$E:$E,0)),""))</f>
        <v>#VALUE!</v>
      </c>
      <c r="U82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2" s="88" t="e" vm="338">
        <f>IF(Character[[#This Row],[Name]]="Traveler","",IFERROR(INDEX(ImgDatabase!$K:$K, MATCH(Character[[#This Row],[NameHelper]], ImgDatabase!$E:$E, 0)), ""))</f>
        <v>#VALUE!</v>
      </c>
      <c r="X82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82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82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82" s="88" t="e" vm="8">
        <f>IFERROR(INDEX(ImgDatabase!$J:$J, MATCH(Character[[#This Row],[NameHelper]], ImgDatabase!$E:$E, 0)), "")</f>
        <v>#VALUE!</v>
      </c>
      <c r="AC82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82" s="86" t="e" vm="283">
        <f>IFERROR(INDEX(ImgDatabase!$M:$M, MATCH(Character[[#This Row],[NameHelper]], ImgDatabase!$E:$E, 0)), "")</f>
        <v>#VALUE!</v>
      </c>
      <c r="AF82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82" s="86" t="e" vm="56">
        <f>IFERROR(INDEX(ImgDatabase!$N:$N, MATCH(Character[[#This Row],[NameHelper]], ImgDatabase!$E:$E, 0)), "")</f>
        <v>#VALUE!</v>
      </c>
      <c r="AI82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82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82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82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2" s="53" t="e" vm="54">
        <f>IFERROR(INDEX(ImgDatabase!$L:$L, MATCH(Character[[#This Row],[NameHelper]], ImgDatabase!$E:$E, 0)), "")</f>
        <v>#VALUE!</v>
      </c>
      <c r="AO82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82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82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82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82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82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82" s="92">
        <f t="shared" si="6"/>
        <v>129</v>
      </c>
      <c r="AV82" s="93">
        <f t="shared" si="7"/>
        <v>96</v>
      </c>
      <c r="AW82" s="94">
        <f t="shared" si="8"/>
        <v>33</v>
      </c>
      <c r="AY82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1932830</v>
      </c>
      <c r="AZ82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2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82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82" s="140">
        <f>SUM(Table40[[#This Row],[Ascension
Cost]:[Talent Cost
(Burst)]])</f>
        <v>6890330</v>
      </c>
      <c r="BE82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2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2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2" s="78">
        <f>SUM(Table53[[#This Row],[NA]:[Burst]])</f>
        <v>3</v>
      </c>
    </row>
    <row r="83" spans="1:60" ht="30" customHeight="1" x14ac:dyDescent="0.25">
      <c r="A83" s="79">
        <f>SUBTOTAL(3,$D$3:Character[[#This Row],[NameHelper]])</f>
        <v>81</v>
      </c>
      <c r="B83" s="80" t="e" vm="887">
        <f>IFERROR(INDEX(ImgDatabase!$D:$D, MATCH(Character[[#This Row],[NameHelper]], ImgDatabase!$E:$E, 0)), "")</f>
        <v>#VALUE!</v>
      </c>
      <c r="C83" s="81" t="s">
        <v>703</v>
      </c>
      <c r="D83" s="81" t="s">
        <v>543</v>
      </c>
      <c r="E83" s="53" t="e" vm="91">
        <f>IFERROR(INDEX(ImgDatabase!$G:$G, MATCH(Character[[#This Row],[NameHelper]], ImgDatabase!$E:$E, 0)), "")</f>
        <v>#VALUE!</v>
      </c>
      <c r="F83" s="53" t="e" vm="552">
        <f>IFERROR(INDEX(CharacterDetailsImg[Weapon Type], MATCH(Character[[#This Row],[NameHelper]], CharacterDetailsImg[Name], 0)), "")</f>
        <v>#VALUE!</v>
      </c>
      <c r="G83" s="82">
        <f>IFERROR(INDEX(CharacterDetailsImg[Released Version], MATCH(Character[[#This Row],[NameHelper]], CharacterDetailsImg[Name], 0)), "")</f>
        <v>2.5</v>
      </c>
      <c r="H83" s="51">
        <v>0</v>
      </c>
      <c r="I83" s="41">
        <v>0</v>
      </c>
      <c r="J83" s="41">
        <v>0</v>
      </c>
      <c r="K83" s="52">
        <v>0</v>
      </c>
      <c r="M83" s="83">
        <v>90</v>
      </c>
      <c r="N83" s="83">
        <v>10</v>
      </c>
      <c r="O83" s="84">
        <v>10</v>
      </c>
      <c r="P83" s="85">
        <v>10</v>
      </c>
      <c r="R83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3" s="86" t="e" vm="595">
        <f>IF(Character[[#This Row],[Name]]="Traveler","",IFERROR(INDEX(ImgDatabase!$I:$I,MATCH(Character[[#This Row],[NameHelper]],ImgDatabase!$E:$E,0)),""))</f>
        <v>#VALUE!</v>
      </c>
      <c r="U83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3" s="88" t="e" vm="74">
        <f>IF(Character[[#This Row],[Name]]="Traveler","",IFERROR(INDEX(ImgDatabase!$K:$K, MATCH(Character[[#This Row],[NameHelper]], ImgDatabase!$E:$E, 0)), ""))</f>
        <v>#VALUE!</v>
      </c>
      <c r="X83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0</v>
      </c>
      <c r="Y83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0</v>
      </c>
      <c r="Z83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83" s="95" t="e" vm="456">
        <f>IFERROR(INDEX(ImgDatabase!$J:$J, MATCH(Character[[#This Row],[NameHelper]], ImgDatabase!$E:$E, 0)), "")</f>
        <v>#VALUE!</v>
      </c>
      <c r="AC83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0</v>
      </c>
      <c r="AE83" s="66" t="e" vm="152">
        <f>IFERROR(INDEX(ImgDatabase!$M:$M, MATCH(Character[[#This Row],[NameHelper]], ImgDatabase!$E:$E, 0)), "")</f>
        <v>#VALUE!</v>
      </c>
      <c r="AF83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3" s="66" t="e" vm="97">
        <f>IFERROR(INDEX(ImgDatabase!$N:$N, MATCH(Character[[#This Row],[NameHelper]], ImgDatabase!$E:$E, 0)), "")</f>
        <v>#VALUE!</v>
      </c>
      <c r="AI83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3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3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3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3" s="67" t="e" vm="184">
        <f>IFERROR(INDEX(ImgDatabase!$L:$L, MATCH(Character[[#This Row],[NameHelper]], ImgDatabase!$E:$E, 0)), "")</f>
        <v>#VALUE!</v>
      </c>
      <c r="AO83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3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3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3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0</v>
      </c>
      <c r="AS83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0</v>
      </c>
      <c r="AT83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83" s="73">
        <f t="shared" si="6"/>
        <v>0</v>
      </c>
      <c r="AV83" s="74">
        <f t="shared" si="7"/>
        <v>0</v>
      </c>
      <c r="AW83" s="75">
        <f t="shared" si="8"/>
        <v>0</v>
      </c>
      <c r="AY83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3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A83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83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83" s="143">
        <f>SUM(Table40[[#This Row],[Ascension
Cost]:[Talent Cost
(Burst)]])</f>
        <v>0</v>
      </c>
      <c r="BE83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BF83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83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83" s="78">
        <f>SUM(Table53[[#This Row],[NA]:[Burst]])</f>
        <v>0</v>
      </c>
    </row>
    <row r="84" spans="1:60" ht="30" customHeight="1" x14ac:dyDescent="0.25">
      <c r="A84" s="79">
        <f>SUBTOTAL(3,$D$3:Character[[#This Row],[NameHelper]])</f>
        <v>82</v>
      </c>
      <c r="B84" s="80" t="e" vm="888">
        <f>IFERROR(INDEX(ImgDatabase!$D:$D, MATCH(Character[[#This Row],[NameHelper]], ImgDatabase!$E:$E, 0)), "")</f>
        <v>#VALUE!</v>
      </c>
      <c r="C84" s="81" t="s">
        <v>545</v>
      </c>
      <c r="D84" s="81" t="s">
        <v>545</v>
      </c>
      <c r="E84" s="53" t="e" vm="50">
        <f>IFERROR(INDEX(ImgDatabase!$G:$G, MATCH(Character[[#This Row],[NameHelper]], ImgDatabase!$E:$E, 0)), "")</f>
        <v>#VALUE!</v>
      </c>
      <c r="F84" s="53" t="e" vm="552">
        <f>IFERROR(INDEX(CharacterDetailsImg[Weapon Type], MATCH(Character[[#This Row],[NameHelper]], CharacterDetailsImg[Name], 0)), "")</f>
        <v>#VALUE!</v>
      </c>
      <c r="G84" s="82">
        <f>IFERROR(INDEX(CharacterDetailsImg[Released Version], MATCH(Character[[#This Row],[NameHelper]], CharacterDetailsImg[Name], 0)), "")</f>
        <v>1.5</v>
      </c>
      <c r="H84" s="51">
        <v>80</v>
      </c>
      <c r="I84" s="41">
        <v>4</v>
      </c>
      <c r="J84" s="41">
        <v>4</v>
      </c>
      <c r="K84" s="52">
        <v>4</v>
      </c>
      <c r="M84" s="83">
        <v>90</v>
      </c>
      <c r="N84" s="83">
        <v>10</v>
      </c>
      <c r="O84" s="84">
        <v>10</v>
      </c>
      <c r="P84" s="85">
        <v>10</v>
      </c>
      <c r="R84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172</v>
      </c>
      <c r="T84" s="86" t="e" vm="598">
        <f>IF(Character[[#This Row],[Name]]="Traveler","",IFERROR(INDEX(ImgDatabase!$I:$I,MATCH(Character[[#This Row],[NameHelper]],ImgDatabase!$E:$E,0)),""))</f>
        <v>#VALUE!</v>
      </c>
      <c r="U84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84" s="88" t="e" vm="338">
        <f>IF(Character[[#This Row],[Name]]="Traveler","",IFERROR(INDEX(ImgDatabase!$K:$K, MATCH(Character[[#This Row],[NameHelper]], ImgDatabase!$E:$E, 0)), ""))</f>
        <v>#VALUE!</v>
      </c>
      <c r="X84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84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45</v>
      </c>
      <c r="Z84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0</v>
      </c>
      <c r="AB84" s="88" t="e" vm="182">
        <f>IFERROR(INDEX(ImgDatabase!$J:$J, MATCH(Character[[#This Row],[NameHelper]], ImgDatabase!$E:$E, 0)), "")</f>
        <v>#VALUE!</v>
      </c>
      <c r="AC84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84" s="86" t="e" vm="487">
        <f>IFERROR(INDEX(ImgDatabase!$M:$M, MATCH(Character[[#This Row],[NameHelper]], ImgDatabase!$E:$E, 0)), "")</f>
        <v>#VALUE!</v>
      </c>
      <c r="AF84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H84" s="86" t="e" vm="56">
        <f>IFERROR(INDEX(ImgDatabase!$N:$N, MATCH(Character[[#This Row],[NameHelper]], ImgDatabase!$E:$E, 0)), "")</f>
        <v>#VALUE!</v>
      </c>
      <c r="AI84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84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4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4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4" s="53" t="e" vm="54">
        <f>IFERROR(INDEX(ImgDatabase!$L:$L, MATCH(Character[[#This Row],[NameHelper]], ImgDatabase!$E:$E, 0)), "")</f>
        <v>#VALUE!</v>
      </c>
      <c r="AO84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AP84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4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4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84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45</v>
      </c>
      <c r="AT84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0</v>
      </c>
      <c r="AU84" s="92">
        <f t="shared" si="6"/>
        <v>117</v>
      </c>
      <c r="AV84" s="93">
        <f t="shared" si="7"/>
        <v>45</v>
      </c>
      <c r="AW84" s="94">
        <f t="shared" si="8"/>
        <v>0</v>
      </c>
      <c r="AY84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804625</v>
      </c>
      <c r="AZ84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1597500</v>
      </c>
      <c r="BA84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1597500</v>
      </c>
      <c r="BB84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1597500</v>
      </c>
      <c r="BC84" s="140">
        <f>SUM(Table40[[#This Row],[Ascension
Cost]:[Talent Cost
(Burst)]])</f>
        <v>5597125</v>
      </c>
      <c r="BE84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4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4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4" s="78">
        <f>SUM(Table53[[#This Row],[NA]:[Burst]])</f>
        <v>3</v>
      </c>
    </row>
    <row r="85" spans="1:60" ht="30" customHeight="1" x14ac:dyDescent="0.25">
      <c r="A85" s="79">
        <f>SUBTOTAL(3,$D$3:Character[[#This Row],[NameHelper]])</f>
        <v>83</v>
      </c>
      <c r="B85" s="80" t="e" vm="889">
        <f>IFERROR(INDEX(ImgDatabase!$D:$D, MATCH(Character[[#This Row],[NameHelper]], ImgDatabase!$E:$E, 0)), "")</f>
        <v>#VALUE!</v>
      </c>
      <c r="C85" s="81" t="s">
        <v>569</v>
      </c>
      <c r="D85" s="81" t="s">
        <v>569</v>
      </c>
      <c r="E85" s="53" t="e" vm="28">
        <f>IFERROR(INDEX(ImgDatabase!$G:$G, MATCH(Character[[#This Row],[NameHelper]], ImgDatabase!$E:$E, 0)), "")</f>
        <v>#VALUE!</v>
      </c>
      <c r="F85" s="53" t="e" vm="546">
        <f>IFERROR(INDEX(CharacterDetailsImg[Weapon Type], MATCH(Character[[#This Row],[NameHelper]], CharacterDetailsImg[Name], 0)), "")</f>
        <v>#VALUE!</v>
      </c>
      <c r="G85" s="82">
        <f>IFERROR(INDEX(CharacterDetailsImg[Released Version], MATCH(Character[[#This Row],[NameHelper]], CharacterDetailsImg[Name], 0)), "")</f>
        <v>3.4</v>
      </c>
      <c r="H85" s="51">
        <v>21</v>
      </c>
      <c r="I85" s="41">
        <v>1</v>
      </c>
      <c r="J85" s="41">
        <v>1</v>
      </c>
      <c r="K85" s="52">
        <v>1</v>
      </c>
      <c r="M85" s="83">
        <v>90</v>
      </c>
      <c r="N85" s="83">
        <v>10</v>
      </c>
      <c r="O85" s="84">
        <v>10</v>
      </c>
      <c r="P85" s="85">
        <v>10</v>
      </c>
      <c r="R85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412</v>
      </c>
      <c r="T85" s="86" t="e" vm="522">
        <f>IF(Character[[#This Row],[Name]]="Traveler","",IFERROR(INDEX(ImgDatabase!$I:$I,MATCH(Character[[#This Row],[NameHelper]],ImgDatabase!$E:$E,0)),""))</f>
        <v>#VALUE!</v>
      </c>
      <c r="U85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5" s="88" t="e" vm="151">
        <f>IF(Character[[#This Row],[Name]]="Traveler","",IFERROR(INDEX(ImgDatabase!$K:$K, MATCH(Character[[#This Row],[NameHelper]], ImgDatabase!$E:$E, 0)), ""))</f>
        <v>#VALUE!</v>
      </c>
      <c r="X85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85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85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85" s="95" t="e" vm="443">
        <f>IFERROR(INDEX(ImgDatabase!$J:$J, MATCH(Character[[#This Row],[NameHelper]], ImgDatabase!$E:$E, 0)), "")</f>
        <v>#VALUE!</v>
      </c>
      <c r="AC85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85" s="66" t="e" vm="621">
        <f>IFERROR(INDEX(ImgDatabase!$M:$M, MATCH(Character[[#This Row],[NameHelper]], ImgDatabase!$E:$E, 0)), "")</f>
        <v>#VALUE!</v>
      </c>
      <c r="AF85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85" s="66" t="e" vm="34">
        <f>IFERROR(INDEX(ImgDatabase!$N:$N, MATCH(Character[[#This Row],[NameHelper]], ImgDatabase!$E:$E, 0)), "")</f>
        <v>#VALUE!</v>
      </c>
      <c r="AI85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85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85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85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5" s="67" t="e" vm="462">
        <f>IFERROR(INDEX(ImgDatabase!$L:$L, MATCH(Character[[#This Row],[NameHelper]], ImgDatabase!$E:$E, 0)), "")</f>
        <v>#VALUE!</v>
      </c>
      <c r="AO85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85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85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85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85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85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85" s="73">
        <f t="shared" si="6"/>
        <v>129</v>
      </c>
      <c r="AV85" s="74">
        <f t="shared" si="7"/>
        <v>96</v>
      </c>
      <c r="AW85" s="75">
        <f t="shared" si="8"/>
        <v>33</v>
      </c>
      <c r="AY85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2045520</v>
      </c>
      <c r="AZ85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5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85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85" s="143">
        <f>SUM(Table40[[#This Row],[Ascension
Cost]:[Talent Cost
(Burst)]])</f>
        <v>7003020</v>
      </c>
      <c r="BE85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5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5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5" s="78">
        <f>SUM(Table53[[#This Row],[NA]:[Burst]])</f>
        <v>3</v>
      </c>
    </row>
    <row r="86" spans="1:60" ht="30" customHeight="1" x14ac:dyDescent="0.25">
      <c r="A86" s="79">
        <f>SUBTOTAL(3,$D$3:Character[[#This Row],[NameHelper]])</f>
        <v>84</v>
      </c>
      <c r="B86" s="80" t="e" vm="890">
        <f>IFERROR(INDEX(ImgDatabase!$D:$D, MATCH(Character[[#This Row],[NameHelper]], ImgDatabase!$E:$E, 0)), "")</f>
        <v>#VALUE!</v>
      </c>
      <c r="C86" s="81" t="s">
        <v>449</v>
      </c>
      <c r="D86" s="81" t="s">
        <v>449</v>
      </c>
      <c r="E86" s="53" t="e" vm="112">
        <f>IFERROR(INDEX(ImgDatabase!$G:$G, MATCH(Character[[#This Row],[NameHelper]], ImgDatabase!$E:$E, 0)), "")</f>
        <v>#VALUE!</v>
      </c>
      <c r="F86" s="53" t="e" vm="348">
        <f>IFERROR(INDEX(CharacterDetailsImg[Weapon Type], MATCH(Character[[#This Row],[NameHelper]], CharacterDetailsImg[Name], 0)), "")</f>
        <v>#VALUE!</v>
      </c>
      <c r="G86" s="82">
        <f>IFERROR(INDEX(CharacterDetailsImg[Released Version], MATCH(Character[[#This Row],[NameHelper]], CharacterDetailsImg[Name], 0)), "")</f>
        <v>2.7</v>
      </c>
      <c r="H86" s="51">
        <v>90</v>
      </c>
      <c r="I86" s="41">
        <v>1</v>
      </c>
      <c r="J86" s="41">
        <v>9</v>
      </c>
      <c r="K86" s="52">
        <v>10</v>
      </c>
      <c r="M86" s="83">
        <v>90</v>
      </c>
      <c r="N86" s="83">
        <v>10</v>
      </c>
      <c r="O86" s="84">
        <v>10</v>
      </c>
      <c r="P86" s="85">
        <v>10</v>
      </c>
      <c r="R86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6" s="86" t="e" vm="239">
        <f>IF(Character[[#This Row],[Name]]="Traveler","",IFERROR(INDEX(ImgDatabase!$I:$I,MATCH(Character[[#This Row],[NameHelper]],ImgDatabase!$E:$E,0)),""))</f>
        <v>#VALUE!</v>
      </c>
      <c r="U86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6" s="88" t="e" vm="212">
        <f>IF(Character[[#This Row],[Name]]="Traveler","",IFERROR(INDEX(ImgDatabase!$K:$K, MATCH(Character[[#This Row],[NameHelper]], ImgDatabase!$E:$E, 0)), ""))</f>
        <v>#VALUE!</v>
      </c>
      <c r="X86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86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86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86" s="88" t="e" vm="150">
        <f>IFERROR(INDEX(ImgDatabase!$J:$J, MATCH(Character[[#This Row],[NameHelper]], ImgDatabase!$E:$E, 0)), "")</f>
        <v>#VALUE!</v>
      </c>
      <c r="AC86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86" s="86" t="e" vm="450">
        <f>IFERROR(INDEX(ImgDatabase!$M:$M, MATCH(Character[[#This Row],[NameHelper]], ImgDatabase!$E:$E, 0)), "")</f>
        <v>#VALUE!</v>
      </c>
      <c r="AF86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6" s="86" t="e" vm="117">
        <f>IFERROR(INDEX(ImgDatabase!$N:$N, MATCH(Character[[#This Row],[NameHelper]], ImgDatabase!$E:$E, 0)), "")</f>
        <v>#VALUE!</v>
      </c>
      <c r="AI86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6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6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6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6" s="53" t="e" vm="435">
        <f>IFERROR(INDEX(ImgDatabase!$L:$L, MATCH(Character[[#This Row],[NameHelper]], ImgDatabase!$E:$E, 0)), "")</f>
        <v>#VALUE!</v>
      </c>
      <c r="AO86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6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6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6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86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86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86" s="92">
        <f t="shared" si="6"/>
        <v>43</v>
      </c>
      <c r="AV86" s="93">
        <f t="shared" si="7"/>
        <v>22</v>
      </c>
      <c r="AW86" s="94">
        <f t="shared" si="8"/>
        <v>6</v>
      </c>
      <c r="AY86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6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6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86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C86" s="140">
        <f>SUM(Table40[[#This Row],[Ascension
Cost]:[Talent Cost
(Burst)]])</f>
        <v>2352500</v>
      </c>
      <c r="BE86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6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6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BH86" s="78">
        <f>SUM(Table53[[#This Row],[NA]:[Burst]])</f>
        <v>2</v>
      </c>
    </row>
    <row r="87" spans="1:60" ht="30" customHeight="1" x14ac:dyDescent="0.25">
      <c r="A87" s="79">
        <f>SUBTOTAL(3,$D$3:Character[[#This Row],[NameHelper]])</f>
        <v>85</v>
      </c>
      <c r="B87" s="80" t="e" vm="891">
        <f>IFERROR(INDEX(ImgDatabase!$D:$D, MATCH(Character[[#This Row],[NameHelper]], ImgDatabase!$E:$E, 0)), "")</f>
        <v>#VALUE!</v>
      </c>
      <c r="C87" s="81" t="s">
        <v>704</v>
      </c>
      <c r="D87" s="81" t="s">
        <v>454</v>
      </c>
      <c r="E87" s="53" t="e" vm="50">
        <f>IFERROR(INDEX(ImgDatabase!$G:$G, MATCH(Character[[#This Row],[NameHelper]], ImgDatabase!$E:$E, 0)), "")</f>
        <v>#VALUE!</v>
      </c>
      <c r="F87" s="53" t="e" vm="348">
        <f>IFERROR(INDEX(CharacterDetailsImg[Weapon Type], MATCH(Character[[#This Row],[NameHelper]], CharacterDetailsImg[Name], 0)), "")</f>
        <v>#VALUE!</v>
      </c>
      <c r="G87" s="82">
        <f>IFERROR(INDEX(CharacterDetailsImg[Released Version], MATCH(Character[[#This Row],[NameHelper]], CharacterDetailsImg[Name], 0)), "")</f>
        <v>2</v>
      </c>
      <c r="H87" s="51">
        <v>90</v>
      </c>
      <c r="I87" s="41">
        <v>9</v>
      </c>
      <c r="J87" s="41">
        <v>9</v>
      </c>
      <c r="K87" s="52">
        <v>1</v>
      </c>
      <c r="M87" s="83">
        <v>90</v>
      </c>
      <c r="N87" s="83">
        <v>10</v>
      </c>
      <c r="O87" s="84">
        <v>10</v>
      </c>
      <c r="P87" s="85">
        <v>10</v>
      </c>
      <c r="R87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7" s="86" t="e" vm="473">
        <f>IF(Character[[#This Row],[Name]]="Traveler","",IFERROR(INDEX(ImgDatabase!$I:$I,MATCH(Character[[#This Row],[NameHelper]],ImgDatabase!$E:$E,0)),""))</f>
        <v>#VALUE!</v>
      </c>
      <c r="U87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7" s="88" t="e" vm="226">
        <f>IF(Character[[#This Row],[Name]]="Traveler","",IFERROR(INDEX(ImgDatabase!$K:$K, MATCH(Character[[#This Row],[NameHelper]], ImgDatabase!$E:$E, 0)), ""))</f>
        <v>#VALUE!</v>
      </c>
      <c r="X87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70</v>
      </c>
      <c r="Y87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87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87" s="95" t="e" vm="311">
        <f>IFERROR(INDEX(ImgDatabase!$J:$J, MATCH(Character[[#This Row],[NameHelper]], ImgDatabase!$E:$E, 0)), "")</f>
        <v>#VALUE!</v>
      </c>
      <c r="AC87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10</v>
      </c>
      <c r="AE87" s="66" t="e" vm="241">
        <f>IFERROR(INDEX(ImgDatabase!$M:$M, MATCH(Character[[#This Row],[NameHelper]], ImgDatabase!$E:$E, 0)), "")</f>
        <v>#VALUE!</v>
      </c>
      <c r="AF87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7" s="66" t="e" vm="56">
        <f>IFERROR(INDEX(ImgDatabase!$N:$N, MATCH(Character[[#This Row],[NameHelper]], ImgDatabase!$E:$E, 0)), "")</f>
        <v>#VALUE!</v>
      </c>
      <c r="AI87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7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7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7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7" s="67" t="e" vm="10">
        <f>IFERROR(INDEX(ImgDatabase!$L:$L, MATCH(Character[[#This Row],[NameHelper]], ImgDatabase!$E:$E, 0)), "")</f>
        <v>#VALUE!</v>
      </c>
      <c r="AO87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7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7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7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55</v>
      </c>
      <c r="AS87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87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87" s="73">
        <f t="shared" si="6"/>
        <v>55</v>
      </c>
      <c r="AV87" s="74">
        <f t="shared" si="7"/>
        <v>22</v>
      </c>
      <c r="AW87" s="75">
        <f t="shared" si="8"/>
        <v>6</v>
      </c>
      <c r="AY87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7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700000</v>
      </c>
      <c r="BA87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700000</v>
      </c>
      <c r="BB87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87" s="143">
        <f>SUM(Table40[[#This Row],[Ascension
Cost]:[Talent Cost
(Burst)]])</f>
        <v>3052500</v>
      </c>
      <c r="BE87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7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7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7" s="78">
        <f>SUM(Table53[[#This Row],[NA]:[Burst]])</f>
        <v>3</v>
      </c>
    </row>
    <row r="88" spans="1:60" ht="30" customHeight="1" x14ac:dyDescent="0.25">
      <c r="A88" s="79">
        <f>SUBTOTAL(3,$D$3:Character[[#This Row],[NameHelper]])</f>
        <v>86</v>
      </c>
      <c r="B88" s="80" t="e" vm="892">
        <f>IFERROR(INDEX(ImgDatabase!$D:$D, MATCH(Character[[#This Row],[NameHelper]], ImgDatabase!$E:$E, 0)), "")</f>
        <v>#VALUE!</v>
      </c>
      <c r="C88" s="81" t="s">
        <v>705</v>
      </c>
      <c r="D88" s="81" t="s">
        <v>571</v>
      </c>
      <c r="E88" s="53" t="e" vm="6">
        <f>IFERROR(INDEX(ImgDatabase!$G:$G, MATCH(Character[[#This Row],[NameHelper]], ImgDatabase!$E:$E, 0)), "")</f>
        <v>#VALUE!</v>
      </c>
      <c r="F88" s="53" t="e" vm="546">
        <f>IFERROR(INDEX(CharacterDetailsImg[Weapon Type], MATCH(Character[[#This Row],[NameHelper]], CharacterDetailsImg[Name], 0)), "")</f>
        <v>#VALUE!</v>
      </c>
      <c r="G88" s="82">
        <f>IFERROR(INDEX(CharacterDetailsImg[Released Version], MATCH(Character[[#This Row],[NameHelper]], CharacterDetailsImg[Name], 0)), "")</f>
        <v>2.4</v>
      </c>
      <c r="H88" s="51">
        <v>40</v>
      </c>
      <c r="I88" s="41">
        <v>1</v>
      </c>
      <c r="J88" s="41">
        <v>1</v>
      </c>
      <c r="K88" s="52">
        <v>1</v>
      </c>
      <c r="M88" s="83">
        <v>90</v>
      </c>
      <c r="N88" s="83">
        <v>10</v>
      </c>
      <c r="O88" s="84">
        <v>10</v>
      </c>
      <c r="P88" s="85">
        <v>10</v>
      </c>
      <c r="R88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384</v>
      </c>
      <c r="T88" s="86" t="e" vm="480">
        <f>IF(Character[[#This Row],[Name]]="Traveler","",IFERROR(INDEX(ImgDatabase!$I:$I,MATCH(Character[[#This Row],[NameHelper]],ImgDatabase!$E:$E,0)),""))</f>
        <v>#VALUE!</v>
      </c>
      <c r="U88" s="87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8" s="88" t="e" vm="151">
        <f>IF(Character[[#This Row],[Name]]="Traveler","",IFERROR(INDEX(ImgDatabase!$K:$K, MATCH(Character[[#This Row],[NameHelper]], ImgDatabase!$E:$E, 0)), ""))</f>
        <v>#VALUE!</v>
      </c>
      <c r="X88" s="6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114</v>
      </c>
      <c r="Y88" s="6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63</v>
      </c>
      <c r="Z88" s="89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9</v>
      </c>
      <c r="AB88" s="88" t="e" vm="425">
        <f>IFERROR(INDEX(ImgDatabase!$J:$J, MATCH(Character[[#This Row],[NameHelper]], ImgDatabase!$E:$E, 0)), "")</f>
        <v>#VALUE!</v>
      </c>
      <c r="AC88" s="89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18</v>
      </c>
      <c r="AE88" s="86" t="e" vm="576">
        <f>IFERROR(INDEX(ImgDatabase!$M:$M, MATCH(Character[[#This Row],[NameHelper]], ImgDatabase!$E:$E, 0)), "")</f>
        <v>#VALUE!</v>
      </c>
      <c r="AF88" s="87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H88" s="86" t="e" vm="12">
        <f>IFERROR(INDEX(ImgDatabase!$N:$N, MATCH(Character[[#This Row],[NameHelper]], ImgDatabase!$E:$E, 0)), "")</f>
        <v>#VALUE!</v>
      </c>
      <c r="AI88" s="53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J88" s="53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K88" s="53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L88" s="53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8" s="53" t="e" vm="133">
        <f>IFERROR(INDEX(ImgDatabase!$L:$L, MATCH(Character[[#This Row],[NameHelper]], ImgDatabase!$E:$E, 0)), "")</f>
        <v>#VALUE!</v>
      </c>
      <c r="AO88" s="90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AP88" s="53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AQ88" s="87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AR88" s="91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93</v>
      </c>
      <c r="AS88" s="6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66</v>
      </c>
      <c r="AT88" s="89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18</v>
      </c>
      <c r="AU88" s="92">
        <f t="shared" si="6"/>
        <v>129</v>
      </c>
      <c r="AV88" s="93">
        <f t="shared" si="7"/>
        <v>96</v>
      </c>
      <c r="AW88" s="94">
        <f t="shared" si="8"/>
        <v>33</v>
      </c>
      <c r="AY88" s="13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1932830</v>
      </c>
      <c r="AZ88" s="13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8" s="13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1652500</v>
      </c>
      <c r="BB88" s="13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1652500</v>
      </c>
      <c r="BC88" s="140">
        <f>SUM(Table40[[#This Row],[Ascension
Cost]:[Talent Cost
(Burst)]])</f>
        <v>6890330</v>
      </c>
      <c r="BE88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8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1</v>
      </c>
      <c r="BG88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8" s="78">
        <f>SUM(Table53[[#This Row],[NA]:[Burst]])</f>
        <v>3</v>
      </c>
    </row>
    <row r="89" spans="1:60" ht="30" customHeight="1" thickBot="1" x14ac:dyDescent="0.3">
      <c r="A89" s="97">
        <f>SUBTOTAL(3,$D$3:Character[[#This Row],[NameHelper]])</f>
        <v>87</v>
      </c>
      <c r="B89" s="98" t="e" vm="893">
        <f>IFERROR(INDEX(ImgDatabase!$D:$D, MATCH(Character[[#This Row],[NameHelper]], ImgDatabase!$E:$E, 0)), "")</f>
        <v>#VALUE!</v>
      </c>
      <c r="C89" s="99" t="s">
        <v>573</v>
      </c>
      <c r="D89" s="99" t="s">
        <v>573</v>
      </c>
      <c r="E89" s="100" t="e" vm="6">
        <f>IFERROR(INDEX(ImgDatabase!$G:$G, MATCH(Character[[#This Row],[NameHelper]], ImgDatabase!$E:$E, 0)), "")</f>
        <v>#VALUE!</v>
      </c>
      <c r="F89" s="100" t="e" vm="546">
        <f>IFERROR(INDEX(CharacterDetailsImg[Weapon Type], MATCH(Character[[#This Row],[NameHelper]], CharacterDetailsImg[Name], 0)), "")</f>
        <v>#VALUE!</v>
      </c>
      <c r="G89" s="101">
        <f>IFERROR(INDEX(CharacterDetailsImg[Released Version], MATCH(Character[[#This Row],[NameHelper]], CharacterDetailsImg[Name], 0)), "")</f>
        <v>1.1000000000000001</v>
      </c>
      <c r="H89" s="102">
        <v>90</v>
      </c>
      <c r="I89" s="103">
        <v>1</v>
      </c>
      <c r="J89" s="103">
        <v>10</v>
      </c>
      <c r="K89" s="104">
        <v>9</v>
      </c>
      <c r="M89" s="83">
        <v>90</v>
      </c>
      <c r="N89" s="105">
        <v>10</v>
      </c>
      <c r="O89" s="106">
        <v>10</v>
      </c>
      <c r="P89" s="107">
        <v>10</v>
      </c>
      <c r="R89" s="61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9" s="86" t="e" vm="7">
        <f>IF(Character[[#This Row],[Name]]="Traveler","",IFERROR(INDEX(ImgDatabase!$I:$I,MATCH(Character[[#This Row],[NameHelper]],ImgDatabase!$E:$E,0)),""))</f>
        <v>#VALUE!</v>
      </c>
      <c r="U89" s="69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9" s="88" t="e" vm="338">
        <f>IF(Character[[#This Row],[Name]]="Traveler","",IFERROR(INDEX(ImgDatabase!$K:$K, MATCH(Character[[#This Row],[NameHelper]], ImgDatabase!$E:$E, 0)), ""))</f>
        <v>#VALUE!</v>
      </c>
      <c r="X89" s="71">
        <f>IF(
Character[[#This Row],[Name]]="Traveler",
"",
(IF(Character[[#This Row],[NA]]=0,0,IF(Target[[#This Row],[NA]]&lt;Character[[#This Row],[NA]],0,LOOKUP(Character[[#This Row],[NA]],TalentDatabase[Talent Level],TalentDatabase[4* Books])-LOOKUP(Target[[#This Row],[NA]],TalentDatabase[Talent Level],TalentDatabase[4* Books]))))+
(IF(Character[[#This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Books]))))+
(IF(Character[[#This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
)</f>
        <v>54</v>
      </c>
      <c r="Y89" s="71">
        <f>IF(
Character[[#This Row],[Name]]="Traveler",
"",
(IF(Character[[#This Row],[NA]]=0,0,IF(Target[[#This Row],[NA]]&lt;Character[[#This Row],[NA]],0,LOOKUP(Character[[#This Row],[NA]],TalentDatabase[Talent Level],TalentDatabase[3* Books])-LOOKUP(Target[[#This Row],[NA]],TalentDatabase[Talent Level],TalentDatabase[3* Books]))))+
(IF(Character[[#This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Books]))))+
(IF(Character[[#This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
)</f>
        <v>21</v>
      </c>
      <c r="Z89" s="72">
        <f>IF(
Character[[#This Row],[Name]]="Traveler",
"",
(IF(Character[[#This Row],[NA]]=0,0,IF(Target[[#This Row],[NA]]&lt;Character[[#This Row],[NA]],0,LOOKUP(Character[[#This Row],[NA]],TalentDatabase[Talent Level],TalentDatabase[2* Books])-LOOKUP(Target[[#This Row],[NA]],TalentDatabase[Talent Level],TalentDatabase[2* Books]))))+
(IF(Character[[#This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Books]))))+
(IF(Character[[#This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
)</f>
        <v>3</v>
      </c>
      <c r="AB89" s="95" t="e" vm="8">
        <f>IFERROR(INDEX(ImgDatabase!$J:$J, MATCH(Character[[#This Row],[NameHelper]], ImgDatabase!$E:$E, 0)), "")</f>
        <v>#VALUE!</v>
      </c>
      <c r="AC89" s="72">
        <f>(IF(Character[[#This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Mats]))))
+(IF(Character[[#This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Mats]))))
+(IF(Character[[#This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Mats]))))</f>
        <v>8</v>
      </c>
      <c r="AE89" s="66" t="e" vm="213">
        <f>IFERROR(INDEX(ImgDatabase!$M:$M, MATCH(Character[[#This Row],[NameHelper]], ImgDatabase!$E:$E, 0)), "")</f>
        <v>#VALUE!</v>
      </c>
      <c r="AF89" s="69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H89" s="66" t="e" vm="12">
        <f>IFERROR(INDEX(ImgDatabase!$N:$N, MATCH(Character[[#This Row],[NameHelper]], ImgDatabase!$E:$E, 0)), "")</f>
        <v>#VALUE!</v>
      </c>
      <c r="AI89" s="6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J89" s="6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K89" s="6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L89" s="6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N89" s="67" t="e" vm="462">
        <f>IFERROR(INDEX(ImgDatabase!$L:$L, MATCH(Character[[#This Row],[NameHelper]], ImgDatabase!$E:$E, 0)), "")</f>
        <v>#VALUE!</v>
      </c>
      <c r="AO89" s="68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AP89" s="6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AQ89" s="69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AR89" s="70">
        <f>(IF(Character[[#This Row],[NA]]=0,0,IF(Target[[#This Row],[NA]]&lt;Character[[#This Row],[NA]],0,LOOKUP(Character[[#This Row],[NA]],TalentDatabase[Talent Level],TalentDatabase[3* Mats])-LOOKUP(Target[[#This Row],[NA]],TalentDatabase[Talent Level],TalentDatabase[3* Mats]))))
+(IF(Character[[#This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Mats]))))
+(IF(Character[[#This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Mats]))))</f>
        <v>43</v>
      </c>
      <c r="AS89" s="71">
        <f>(IF(Character[[#This Row],[NA]]=0,0,IF(Target[[#This Row],[NA]]&lt;Character[[#This Row],[NA]],0,LOOKUP(Character[[#This Row],[NA]],TalentDatabase[Talent Level],TalentDatabase[2* Mats])-LOOKUP(Target[[#This Row],[NA]],TalentDatabase[Talent Level],TalentDatabase[2* Mats]))))
+(IF(Character[[#This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Mats]))))
+(IF(Character[[#This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Mats]))))</f>
        <v>22</v>
      </c>
      <c r="AT89" s="72">
        <f>(IF(Character[[#This Row],[NA]]=0,0,IF(Target[[#This Row],[NA]]&lt;Character[[#This Row],[NA]],0,LOOKUP(Character[[#This Row],[NA]],TalentDatabase[Talent Level],TalentDatabase[1* Mats])-LOOKUP(Target[[#This Row],[NA]],TalentDatabase[Talent Level],TalentDatabase[1* Mats]))))
+(IF(Character[[#This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Mats]))))
+(IF(Character[[#This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Mats]))))</f>
        <v>6</v>
      </c>
      <c r="AU89" s="73">
        <f t="shared" si="6"/>
        <v>43</v>
      </c>
      <c r="AV89" s="74">
        <f t="shared" si="7"/>
        <v>22</v>
      </c>
      <c r="AW89" s="75">
        <f t="shared" si="8"/>
        <v>6</v>
      </c>
      <c r="AY89" s="141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AZ89" s="142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1652500</v>
      </c>
      <c r="BA89" s="142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B89" s="142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700000</v>
      </c>
      <c r="BC89" s="143">
        <f>SUM(Table40[[#This Row],[Ascension
Cost]:[Talent Cost
(Burst)]])</f>
        <v>2352500</v>
      </c>
      <c r="BE89" s="76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1</v>
      </c>
      <c r="BF89" s="77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BG89" s="78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1</v>
      </c>
      <c r="BH89" s="78">
        <f>SUM(Table53[[#This Row],[NA]:[Burst]])</f>
        <v>2</v>
      </c>
    </row>
    <row r="90" spans="1:60" ht="30" customHeight="1" thickBot="1" x14ac:dyDescent="0.3">
      <c r="A90" s="53"/>
      <c r="B90" s="53"/>
      <c r="C90" s="53"/>
      <c r="R90" s="108">
        <f>SUBTOTAL(109,Summary!$R$2:$R$89)</f>
        <v>13974</v>
      </c>
      <c r="T90" s="109"/>
      <c r="U90" s="110">
        <f>SUBTOTAL(109,WorldBoss[Need to Farm])</f>
        <v>1400</v>
      </c>
      <c r="W90" s="109"/>
      <c r="X90" s="111">
        <f>SUBTOTAL(109,TalentBook[4* Book])</f>
        <v>5754</v>
      </c>
      <c r="Y90" s="111">
        <f>SUBTOTAL(109,TalentBook[3* Book])</f>
        <v>2559</v>
      </c>
      <c r="Z90" s="112">
        <f>SUBTOTAL(109,TalentBook[2* Book])</f>
        <v>336</v>
      </c>
      <c r="AB90" s="109"/>
      <c r="AC90" s="112">
        <f>SUBTOTAL(109,WeeklyBoss[Need to Farm])</f>
        <v>981</v>
      </c>
      <c r="AE90" s="109"/>
      <c r="AF90" s="112">
        <f>SUBTOTAL(109,LocalSpecialties3[Need to Farm])</f>
        <v>4913</v>
      </c>
      <c r="AH90" s="109"/>
      <c r="AI90" s="113">
        <f>SUBTOTAL(109,Gemstone[Gemstone])</f>
        <v>204</v>
      </c>
      <c r="AJ90" s="113">
        <f>SUBTOTAL(109,Gemstone[Chunk])</f>
        <v>264</v>
      </c>
      <c r="AK90" s="113">
        <f>SUBTOTAL(109,Gemstone[Fragment])</f>
        <v>204</v>
      </c>
      <c r="AL90" s="110">
        <f>SUBTOTAL(109,Gemstone[Silver])</f>
        <v>1</v>
      </c>
      <c r="AN90" s="114"/>
      <c r="AO90" s="114">
        <f>SUBTOTAL(109,MonsterMaterials[3* (Asc)])</f>
        <v>1176</v>
      </c>
      <c r="AP90" s="113">
        <f>SUBTOTAL(109,MonsterMaterials[2* (Asc)])</f>
        <v>780</v>
      </c>
      <c r="AQ90" s="110">
        <f>SUBTOTAL(109,MonsterMaterials[1* (Asc)])</f>
        <v>333</v>
      </c>
      <c r="AR90" s="115">
        <f>SUBTOTAL(109,MonsterMaterials[3* (Tal)])</f>
        <v>5115</v>
      </c>
      <c r="AS90" s="111">
        <f>SUBTOTAL(109,MonsterMaterials[2* (Tal)])</f>
        <v>2991</v>
      </c>
      <c r="AT90" s="112">
        <f>SUBTOTAL(109,MonsterMaterials[1* (Tal)])</f>
        <v>750</v>
      </c>
      <c r="AU90" s="116">
        <f>SUBTOTAL(109,MonsterMaterials[3* Mats])</f>
        <v>6291</v>
      </c>
      <c r="AV90" s="116">
        <f>SUBTOTAL(109,MonsterMaterials[2* Mats])</f>
        <v>3771</v>
      </c>
      <c r="AW90" s="117">
        <f>SUBTOTAL(109,MonsterMaterials[1* Mats])</f>
        <v>1083</v>
      </c>
      <c r="AY90" s="144">
        <f>SUBTOTAL(109,Table40[Ascension
Cost])</f>
        <v>67414965</v>
      </c>
      <c r="AZ90" s="145">
        <f>SUBTOTAL(109,Table40[Talent Cost
(NA)])</f>
        <v>104160000</v>
      </c>
      <c r="BA90" s="145">
        <f>SUBTOTAL(109,Table40[Talent Cost
(Skill)])</f>
        <v>85460000</v>
      </c>
      <c r="BB90" s="145">
        <f>SUBTOTAL(109,Table40[Talent Cost
(Burst)])</f>
        <v>83090000</v>
      </c>
      <c r="BC90" s="146">
        <f>SUBTOTAL(109,Table40[Total
Cost])</f>
        <v>340124965</v>
      </c>
      <c r="BE90" s="118">
        <f>SUBTOTAL(109,Table53[NA])</f>
        <v>65</v>
      </c>
      <c r="BF90" s="119">
        <f>SUBTOTAL(109,Table53[Skill])</f>
        <v>61</v>
      </c>
      <c r="BG90" s="120">
        <f>SUBTOTAL(109,Table53[Burst])</f>
        <v>57</v>
      </c>
      <c r="BH90" s="120">
        <f>SUBTOTAL(109,Table53[Total])</f>
        <v>183</v>
      </c>
    </row>
    <row r="91" spans="1:60" ht="30" customHeight="1" x14ac:dyDescent="0.25">
      <c r="A91" s="53"/>
      <c r="B91" s="53"/>
      <c r="C91" s="53"/>
      <c r="AY91" s="121"/>
      <c r="AZ91" s="121"/>
      <c r="BA91" s="121"/>
      <c r="BB91" s="121"/>
      <c r="BC91" s="121"/>
    </row>
    <row r="92" spans="1:60" x14ac:dyDescent="0.25">
      <c r="A92" s="53"/>
      <c r="B92" s="53"/>
      <c r="C92" s="53"/>
    </row>
    <row r="93" spans="1:60" x14ac:dyDescent="0.25">
      <c r="A93" s="53"/>
      <c r="B93" s="53"/>
      <c r="C93" s="53"/>
    </row>
    <row r="94" spans="1:60" x14ac:dyDescent="0.25">
      <c r="A94" s="53"/>
      <c r="B94" s="53"/>
      <c r="C94" s="53"/>
    </row>
    <row r="95" spans="1:60" x14ac:dyDescent="0.25">
      <c r="A95" s="53"/>
      <c r="B95" s="53"/>
      <c r="C95" s="53"/>
    </row>
    <row r="96" spans="1:60" x14ac:dyDescent="0.25">
      <c r="A96" s="53"/>
      <c r="B96" s="53"/>
      <c r="C96" s="53"/>
    </row>
    <row r="97" spans="1:3" x14ac:dyDescent="0.25">
      <c r="A97" s="53"/>
      <c r="B97" s="53"/>
      <c r="C97" s="53"/>
    </row>
    <row r="98" spans="1:3" x14ac:dyDescent="0.25">
      <c r="A98" s="53"/>
      <c r="B98" s="53"/>
      <c r="C98" s="53"/>
    </row>
    <row r="99" spans="1:3" x14ac:dyDescent="0.25">
      <c r="A99" s="53"/>
      <c r="B99" s="53"/>
      <c r="C99" s="53"/>
    </row>
    <row r="100" spans="1:3" x14ac:dyDescent="0.25">
      <c r="A100" s="53"/>
      <c r="B100" s="53"/>
      <c r="C100" s="53"/>
    </row>
    <row r="101" spans="1:3" x14ac:dyDescent="0.25">
      <c r="A101" s="53"/>
      <c r="B101" s="53"/>
      <c r="C101" s="53"/>
    </row>
    <row r="102" spans="1:3" x14ac:dyDescent="0.25">
      <c r="A102" s="53"/>
      <c r="B102" s="53"/>
      <c r="C102" s="53"/>
    </row>
    <row r="103" spans="1:3" x14ac:dyDescent="0.25">
      <c r="A103" s="53"/>
      <c r="B103" s="53"/>
      <c r="C103" s="53"/>
    </row>
    <row r="104" spans="1:3" x14ac:dyDescent="0.25">
      <c r="A104" s="53"/>
      <c r="B104" s="53"/>
      <c r="C104" s="53"/>
    </row>
    <row r="105" spans="1:3" x14ac:dyDescent="0.25">
      <c r="A105" s="53"/>
      <c r="B105" s="53"/>
      <c r="C105" s="53"/>
    </row>
    <row r="106" spans="1:3" x14ac:dyDescent="0.25">
      <c r="A106" s="53"/>
      <c r="B106" s="53"/>
      <c r="C106" s="53"/>
    </row>
    <row r="107" spans="1:3" x14ac:dyDescent="0.25">
      <c r="A107" s="53"/>
      <c r="B107" s="53"/>
      <c r="C107" s="53"/>
    </row>
    <row r="108" spans="1:3" x14ac:dyDescent="0.25">
      <c r="A108" s="53"/>
      <c r="B108" s="53"/>
      <c r="C108" s="53"/>
    </row>
    <row r="109" spans="1:3" x14ac:dyDescent="0.25">
      <c r="A109" s="53"/>
      <c r="B109" s="53"/>
      <c r="C109" s="53"/>
    </row>
    <row r="110" spans="1:3" x14ac:dyDescent="0.25">
      <c r="A110" s="53"/>
      <c r="B110" s="53"/>
      <c r="C110" s="53"/>
    </row>
    <row r="111" spans="1:3" x14ac:dyDescent="0.25">
      <c r="A111" s="53"/>
      <c r="B111" s="53"/>
      <c r="C111" s="53"/>
    </row>
  </sheetData>
  <sheetProtection sort="0" autoFilter="0"/>
  <protectedRanges>
    <protectedRange sqref="M3:P89" name="Level and Talent"/>
    <protectedRange sqref="S3:S91 V3:V91 Q3:Q91 AA3:AA91 AD3:AD91 AG3:AG91 AM3:AM91 AX3:AX91 BD3:BD91 L3:L91 H3:K89" name="Level and Talent_2"/>
  </protectedRanges>
  <mergeCells count="13">
    <mergeCell ref="AE1:AF1"/>
    <mergeCell ref="A1:G1"/>
    <mergeCell ref="AB1:AC1"/>
    <mergeCell ref="H1:K1"/>
    <mergeCell ref="M1:P1"/>
    <mergeCell ref="T1:U1"/>
    <mergeCell ref="W1:Z1"/>
    <mergeCell ref="BE1:BF1"/>
    <mergeCell ref="BG1:BH1"/>
    <mergeCell ref="AY1:BA1"/>
    <mergeCell ref="AU1:AW1"/>
    <mergeCell ref="AH1:AL1"/>
    <mergeCell ref="AN1:AT1"/>
  </mergeCells>
  <conditionalFormatting sqref="T135:U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T3:T89">
    <cfRule type="colorScale" priority="6">
      <colorScale>
        <cfvo type="min"/>
        <cfvo type="max"/>
        <color rgb="FF63BE7B"/>
        <color rgb="FFFCFCFF"/>
      </colorScale>
    </cfRule>
  </conditionalFormatting>
  <dataValidations count="3">
    <dataValidation type="whole" allowBlank="1" showInputMessage="1" showErrorMessage="1" errorTitle="Numeric Values Only!" error="Please put numeric values from 0 to 10!" sqref="I3:K89 N3:P89" xr:uid="{D85C7A73-7046-47AB-A07C-1C8986397BA6}">
      <formula1>0</formula1>
      <formula2>10</formula2>
    </dataValidation>
    <dataValidation type="custom" allowBlank="1" showInputMessage="1" showErrorMessage="1" errorTitle="Enter Valid &quot;Target Level&quot;" error="Target level cannot be less than Current Level" sqref="M3:M89" xr:uid="{A7EFBAA7-1E17-4AA2-9E7C-4000FB15DFD0}">
      <formula1>M3&gt;=H3</formula1>
    </dataValidation>
    <dataValidation type="whole" allowBlank="1" showInputMessage="1" showErrorMessage="1" errorTitle="Numeric Values Only!" error="Please put numeric values from 0 to 90." sqref="H3:H89" xr:uid="{8C3D750C-46E3-4B51-8E31-FAD512864674}">
      <formula1>0</formula1>
      <formula2>90</formula2>
    </dataValidation>
  </dataValidation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FFC000"/>
  </sheetPr>
  <dimension ref="A1:G34"/>
  <sheetViews>
    <sheetView workbookViewId="0">
      <selection activeCell="B3" sqref="B3"/>
    </sheetView>
  </sheetViews>
  <sheetFormatPr defaultColWidth="9.140625" defaultRowHeight="15.75" x14ac:dyDescent="0.25"/>
  <cols>
    <col min="1" max="1" width="9.5703125" style="36" customWidth="1"/>
    <col min="2" max="2" width="8.42578125" style="36" customWidth="1"/>
    <col min="3" max="3" width="28.5703125" style="36" hidden="1" customWidth="1"/>
    <col min="4" max="4" width="12.42578125" style="36" bestFit="1" customWidth="1"/>
    <col min="5" max="5" width="15.42578125" style="36" customWidth="1"/>
    <col min="6" max="6" width="16" style="36" customWidth="1"/>
    <col min="7" max="7" width="17.42578125" style="36" customWidth="1"/>
    <col min="8" max="16384" width="9.140625" style="36"/>
  </cols>
  <sheetData>
    <row r="1" spans="1:7" ht="36" thickBot="1" x14ac:dyDescent="0.3">
      <c r="A1" s="209" t="s">
        <v>4</v>
      </c>
      <c r="B1" s="210"/>
      <c r="C1" s="210"/>
      <c r="D1" s="210"/>
      <c r="E1" s="210"/>
      <c r="F1" s="210"/>
      <c r="G1" s="211"/>
    </row>
    <row r="2" spans="1:7" ht="32.25" thickBot="1" x14ac:dyDescent="0.3">
      <c r="A2" s="150" t="s">
        <v>670</v>
      </c>
      <c r="B2" s="151" t="s">
        <v>78</v>
      </c>
      <c r="C2" s="151" t="s">
        <v>24</v>
      </c>
      <c r="D2" s="151" t="s">
        <v>707</v>
      </c>
      <c r="E2" s="151" t="s">
        <v>708</v>
      </c>
      <c r="F2" s="151" t="s">
        <v>709</v>
      </c>
      <c r="G2" s="152" t="s">
        <v>710</v>
      </c>
    </row>
    <row r="3" spans="1:7" ht="30" customHeight="1" x14ac:dyDescent="0.25">
      <c r="A3" s="153">
        <f>SUBTOTAL(3,$C$3:World_Boss[[#This Row],[Name]])</f>
        <v>1</v>
      </c>
      <c r="B3" s="36" t="e" vm="132">
        <f>IFERROR(INDEX(WorldBossImg[Icon], MATCH(World_Boss[[#This Row],[Name]], WorldBossImg[Name], 0)), "")</f>
        <v>#VALUE!</v>
      </c>
      <c r="C3" s="36" t="s">
        <v>83</v>
      </c>
      <c r="D3" s="154">
        <v>1</v>
      </c>
      <c r="E3" s="155">
        <f>SUMIF(WorldBoss[Material],World_Boss[[#This Row],[Boss Name]],WorldBoss[Need to Farm])</f>
        <v>46</v>
      </c>
      <c r="F3" s="156">
        <f>IFERROR(INDEX(WorldBossInv[Quantity], MATCH(World_Boss[[#This Row],[Boss Name]], WorldBossInv[Icon], 0)), "")</f>
        <v>55</v>
      </c>
      <c r="G3" s="157">
        <f t="shared" ref="G3:G33" si="0">E3-F3</f>
        <v>-9</v>
      </c>
    </row>
    <row r="4" spans="1:7" ht="30" customHeight="1" x14ac:dyDescent="0.25">
      <c r="A4" s="153">
        <f>SUBTOTAL(3,$C$3:World_Boss[[#This Row],[Name]])</f>
        <v>2</v>
      </c>
      <c r="B4" s="36" t="e" vm="166">
        <f>IFERROR(INDEX(WorldBossImg[Icon], MATCH(World_Boss[[#This Row],[Name]], WorldBossImg[Name], 0)), "")</f>
        <v>#VALUE!</v>
      </c>
      <c r="C4" s="36" t="s">
        <v>97</v>
      </c>
      <c r="D4" s="154">
        <v>1</v>
      </c>
      <c r="E4" s="153">
        <f>SUMIF(WorldBoss[Material],World_Boss[[#This Row],[Boss Name]],WorldBoss[Need to Farm])</f>
        <v>202</v>
      </c>
      <c r="F4" s="36">
        <f>IFERROR(INDEX(WorldBossInv[Quantity], MATCH(World_Boss[[#This Row],[Boss Name]], WorldBossInv[Icon], 0)), "")</f>
        <v>204</v>
      </c>
      <c r="G4" s="158">
        <f t="shared" si="0"/>
        <v>-2</v>
      </c>
    </row>
    <row r="5" spans="1:7" ht="30" customHeight="1" x14ac:dyDescent="0.25">
      <c r="A5" s="153">
        <f>SUBTOTAL(3,$C$3:World_Boss[[#This Row],[Name]])</f>
        <v>3</v>
      </c>
      <c r="B5" s="36" t="e" vm="210">
        <f>IFERROR(INDEX(WorldBossImg[Icon], MATCH(World_Boss[[#This Row],[Name]], WorldBossImg[Name], 0)), "")</f>
        <v>#VALUE!</v>
      </c>
      <c r="C5" s="36" t="s">
        <v>110</v>
      </c>
      <c r="D5" s="154">
        <v>1</v>
      </c>
      <c r="E5" s="153">
        <f>SUMIF(WorldBoss[Material],World_Boss[[#This Row],[Boss Name]],WorldBoss[Need to Farm])</f>
        <v>124</v>
      </c>
      <c r="F5" s="36">
        <f>IFERROR(INDEX(WorldBossInv[Quantity], MATCH(World_Boss[[#This Row],[Boss Name]], WorldBossInv[Icon], 0)), "")</f>
        <v>125</v>
      </c>
      <c r="G5" s="158">
        <f t="shared" si="0"/>
        <v>-1</v>
      </c>
    </row>
    <row r="6" spans="1:7" ht="30" customHeight="1" x14ac:dyDescent="0.25">
      <c r="A6" s="153">
        <f>SUBTOTAL(3,$C$3:World_Boss[[#This Row],[Name]])</f>
        <v>4</v>
      </c>
      <c r="B6" s="36" t="e" vm="7">
        <f>IFERROR(INDEX(WorldBossImg[Icon], MATCH(World_Boss[[#This Row],[Name]], WorldBossImg[Name], 0)), "")</f>
        <v>#VALUE!</v>
      </c>
      <c r="C6" s="36" t="s">
        <v>123</v>
      </c>
      <c r="D6" s="154">
        <v>1</v>
      </c>
      <c r="E6" s="153">
        <f>SUMIF(WorldBoss[Material],World_Boss[[#This Row],[Boss Name]],WorldBoss[Need to Farm])</f>
        <v>0</v>
      </c>
      <c r="F6" s="36">
        <f>IFERROR(INDEX(WorldBossInv[Quantity], MATCH(World_Boss[[#This Row],[Boss Name]], WorldBossInv[Icon], 0)), "")</f>
        <v>0</v>
      </c>
      <c r="G6" s="158">
        <f t="shared" si="0"/>
        <v>0</v>
      </c>
    </row>
    <row r="7" spans="1:7" ht="30" customHeight="1" x14ac:dyDescent="0.25">
      <c r="A7" s="153">
        <f>SUBTOTAL(3,$C$3:World_Boss[[#This Row],[Name]])</f>
        <v>5</v>
      </c>
      <c r="B7" s="36" t="e" vm="337">
        <f>IFERROR(INDEX(WorldBossImg[Icon], MATCH(World_Boss[[#This Row],[Name]], WorldBossImg[Name], 0)), "")</f>
        <v>#VALUE!</v>
      </c>
      <c r="C7" s="36" t="s">
        <v>137</v>
      </c>
      <c r="D7" s="154">
        <v>1</v>
      </c>
      <c r="E7" s="153">
        <f>SUMIF(WorldBoss[Material],World_Boss[[#This Row],[Boss Name]],WorldBoss[Need to Farm])</f>
        <v>0</v>
      </c>
      <c r="F7" s="36">
        <f>IFERROR(INDEX(WorldBossInv[Quantity], MATCH(World_Boss[[#This Row],[Boss Name]], WorldBossInv[Icon], 0)), "")</f>
        <v>1</v>
      </c>
      <c r="G7" s="158">
        <f t="shared" si="0"/>
        <v>-1</v>
      </c>
    </row>
    <row r="8" spans="1:7" ht="30" customHeight="1" x14ac:dyDescent="0.25">
      <c r="A8" s="153">
        <f>SUBTOTAL(3,$C$3:World_Boss[[#This Row],[Name]])</f>
        <v>6</v>
      </c>
      <c r="B8" s="36" t="e" vm="51">
        <f>IFERROR(INDEX(WorldBossImg[Icon], MATCH(World_Boss[[#This Row],[Name]], WorldBossImg[Name], 0)), "")</f>
        <v>#VALUE!</v>
      </c>
      <c r="C8" s="36" t="s">
        <v>149</v>
      </c>
      <c r="D8" s="154">
        <v>1</v>
      </c>
      <c r="E8" s="153">
        <f>SUMIF(WorldBoss[Material],World_Boss[[#This Row],[Boss Name]],WorldBoss[Need to Farm])</f>
        <v>132</v>
      </c>
      <c r="F8" s="36">
        <f>IFERROR(INDEX(WorldBossInv[Quantity], MATCH(World_Boss[[#This Row],[Boss Name]], WorldBossInv[Icon], 0)), "")</f>
        <v>135</v>
      </c>
      <c r="G8" s="158">
        <f t="shared" si="0"/>
        <v>-3</v>
      </c>
    </row>
    <row r="9" spans="1:7" ht="30" customHeight="1" x14ac:dyDescent="0.25">
      <c r="A9" s="153">
        <f>SUBTOTAL(3,$C$3:World_Boss[[#This Row],[Name]])</f>
        <v>7</v>
      </c>
      <c r="B9" s="36" t="e" vm="598">
        <f>IFERROR(INDEX(WorldBossImg[Icon], MATCH(World_Boss[[#This Row],[Name]], WorldBossImg[Name], 0)), "")</f>
        <v>#VALUE!</v>
      </c>
      <c r="C9" s="36" t="s">
        <v>160</v>
      </c>
      <c r="D9" s="154">
        <v>1.3</v>
      </c>
      <c r="E9" s="153">
        <f>SUMIF(WorldBoss[Material],World_Boss[[#This Row],[Boss Name]],WorldBoss[Need to Farm])</f>
        <v>20</v>
      </c>
      <c r="F9" s="36">
        <f>IFERROR(INDEX(WorldBossInv[Quantity], MATCH(World_Boss[[#This Row],[Boss Name]], WorldBossInv[Icon], 0)), "")</f>
        <v>21</v>
      </c>
      <c r="G9" s="158">
        <f t="shared" si="0"/>
        <v>-1</v>
      </c>
    </row>
    <row r="10" spans="1:7" ht="30" customHeight="1" x14ac:dyDescent="0.25">
      <c r="A10" s="153">
        <f>SUBTOTAL(3,$C$3:World_Boss[[#This Row],[Name]])</f>
        <v>8</v>
      </c>
      <c r="B10" s="36" t="e" vm="349">
        <f>IFERROR(INDEX(WorldBossImg[Icon], MATCH(World_Boss[[#This Row],[Name]], WorldBossImg[Name], 0)), "")</f>
        <v>#VALUE!</v>
      </c>
      <c r="C10" s="36" t="s">
        <v>173</v>
      </c>
      <c r="D10" s="154">
        <v>1.5</v>
      </c>
      <c r="E10" s="153">
        <f>SUMIF(WorldBoss[Material],World_Boss[[#This Row],[Boss Name]],WorldBoss[Need to Farm])</f>
        <v>46</v>
      </c>
      <c r="F10" s="36">
        <f>IFERROR(INDEX(WorldBossInv[Quantity], MATCH(World_Boss[[#This Row],[Boss Name]], WorldBossInv[Icon], 0)), "")</f>
        <v>46</v>
      </c>
      <c r="G10" s="158">
        <f t="shared" si="0"/>
        <v>0</v>
      </c>
    </row>
    <row r="11" spans="1:7" ht="30" customHeight="1" x14ac:dyDescent="0.25">
      <c r="A11" s="153">
        <f>SUBTOTAL(3,$C$3:World_Boss[[#This Row],[Name]])</f>
        <v>9</v>
      </c>
      <c r="B11" s="36" t="e" vm="149">
        <f>IFERROR(INDEX(WorldBossImg[Icon], MATCH(World_Boss[[#This Row],[Name]], WorldBossImg[Name], 0)), "")</f>
        <v>#VALUE!</v>
      </c>
      <c r="C11" s="36" t="s">
        <v>182</v>
      </c>
      <c r="D11" s="154">
        <v>1.6</v>
      </c>
      <c r="E11" s="153">
        <f>SUMIF(WorldBoss[Material],World_Boss[[#This Row],[Boss Name]],WorldBoss[Need to Farm])</f>
        <v>46</v>
      </c>
      <c r="F11" s="36">
        <f>IFERROR(INDEX(WorldBossInv[Quantity], MATCH(World_Boss[[#This Row],[Boss Name]], WorldBossInv[Icon], 0)), "")</f>
        <v>46</v>
      </c>
      <c r="G11" s="158">
        <f t="shared" si="0"/>
        <v>0</v>
      </c>
    </row>
    <row r="12" spans="1:7" ht="30" customHeight="1" x14ac:dyDescent="0.25">
      <c r="A12" s="153">
        <f>SUBTOTAL(3,$C$3:World_Boss[[#This Row],[Name]])</f>
        <v>10</v>
      </c>
      <c r="B12" s="36" t="e" vm="181">
        <f>IFERROR(INDEX(WorldBossImg[Icon], MATCH(World_Boss[[#This Row],[Name]], WorldBossImg[Name], 0)), "")</f>
        <v>#VALUE!</v>
      </c>
      <c r="C12" s="36" t="s">
        <v>191</v>
      </c>
      <c r="D12" s="154">
        <v>2</v>
      </c>
      <c r="E12" s="153">
        <f>SUMIF(WorldBoss[Material],World_Boss[[#This Row],[Boss Name]],WorldBoss[Need to Farm])</f>
        <v>46</v>
      </c>
      <c r="F12" s="36">
        <f>IFERROR(INDEX(WorldBossInv[Quantity], MATCH(World_Boss[[#This Row],[Boss Name]], WorldBossInv[Icon], 0)), "")</f>
        <v>48</v>
      </c>
      <c r="G12" s="158">
        <f t="shared" si="0"/>
        <v>-2</v>
      </c>
    </row>
    <row r="13" spans="1:7" ht="30" customHeight="1" x14ac:dyDescent="0.25">
      <c r="A13" s="153">
        <f>SUBTOTAL(3,$C$3:World_Boss[[#This Row],[Name]])</f>
        <v>11</v>
      </c>
      <c r="B13" s="36" t="e" vm="473">
        <f>IFERROR(INDEX(WorldBossImg[Icon], MATCH(World_Boss[[#This Row],[Name]], WorldBossImg[Name], 0)), "")</f>
        <v>#VALUE!</v>
      </c>
      <c r="C13" s="36" t="s">
        <v>202</v>
      </c>
      <c r="D13" s="154">
        <v>2</v>
      </c>
      <c r="E13" s="153">
        <f>SUMIF(WorldBoss[Material],World_Boss[[#This Row],[Boss Name]],WorldBoss[Need to Farm])</f>
        <v>46</v>
      </c>
      <c r="F13" s="36">
        <f>IFERROR(INDEX(WorldBossInv[Quantity], MATCH(World_Boss[[#This Row],[Boss Name]], WorldBossInv[Icon], 0)), "")</f>
        <v>46</v>
      </c>
      <c r="G13" s="158">
        <f t="shared" si="0"/>
        <v>0</v>
      </c>
    </row>
    <row r="14" spans="1:7" ht="30" customHeight="1" x14ac:dyDescent="0.25">
      <c r="A14" s="153">
        <f>SUBTOTAL(3,$C$3:World_Boss[[#This Row],[Name]])</f>
        <v>12</v>
      </c>
      <c r="B14" s="36" t="e" vm="197">
        <f>IFERROR(INDEX(WorldBossImg[Icon], MATCH(World_Boss[[#This Row],[Name]], WorldBossImg[Name], 0)), "")</f>
        <v>#VALUE!</v>
      </c>
      <c r="C14" s="36" t="s">
        <v>211</v>
      </c>
      <c r="D14" s="154">
        <v>2.1</v>
      </c>
      <c r="E14" s="153">
        <f>SUMIF(WorldBoss[Material],World_Boss[[#This Row],[Boss Name]],WorldBoss[Need to Farm])</f>
        <v>0</v>
      </c>
      <c r="F14" s="36">
        <f>IFERROR(INDEX(WorldBossInv[Quantity], MATCH(World_Boss[[#This Row],[Boss Name]], WorldBossInv[Icon], 0)), "")</f>
        <v>2</v>
      </c>
      <c r="G14" s="158">
        <f t="shared" si="0"/>
        <v>-2</v>
      </c>
    </row>
    <row r="15" spans="1:7" ht="30" customHeight="1" x14ac:dyDescent="0.25">
      <c r="A15" s="153">
        <f>SUBTOTAL(3,$C$3:World_Boss[[#This Row],[Name]])</f>
        <v>13</v>
      </c>
      <c r="B15" s="36" t="e" vm="424">
        <f>IFERROR(INDEX(WorldBossImg[Icon], MATCH(World_Boss[[#This Row],[Name]], WorldBossImg[Name], 0)), "")</f>
        <v>#VALUE!</v>
      </c>
      <c r="C15" s="36" t="s">
        <v>220</v>
      </c>
      <c r="D15" s="154">
        <v>2.1</v>
      </c>
      <c r="E15" s="153">
        <f>SUMIF(WorldBoss[Material],World_Boss[[#This Row],[Boss Name]],WorldBoss[Need to Farm])</f>
        <v>46</v>
      </c>
      <c r="F15" s="36">
        <f>IFERROR(INDEX(WorldBossInv[Quantity], MATCH(World_Boss[[#This Row],[Boss Name]], WorldBossInv[Icon], 0)), "")</f>
        <v>47</v>
      </c>
      <c r="G15" s="158">
        <f t="shared" si="0"/>
        <v>-1</v>
      </c>
    </row>
    <row r="16" spans="1:7" ht="30" customHeight="1" x14ac:dyDescent="0.25">
      <c r="A16" s="153">
        <f>SUBTOTAL(3,$C$3:World_Boss[[#This Row],[Name]])</f>
        <v>14</v>
      </c>
      <c r="B16" s="36" t="e" vm="480">
        <f>IFERROR(INDEX(WorldBossImg[Icon], MATCH(World_Boss[[#This Row],[Name]], WorldBossImg[Name], 0)), "")</f>
        <v>#VALUE!</v>
      </c>
      <c r="C16" s="36" t="s">
        <v>231</v>
      </c>
      <c r="D16" s="154">
        <v>2.2999999999999998</v>
      </c>
      <c r="E16" s="153">
        <f>SUMIF(WorldBoss[Material],World_Boss[[#This Row],[Boss Name]],WorldBoss[Need to Farm])</f>
        <v>46</v>
      </c>
      <c r="F16" s="36">
        <f>IFERROR(INDEX(WorldBossInv[Quantity], MATCH(World_Boss[[#This Row],[Boss Name]], WorldBossInv[Icon], 0)), "")</f>
        <v>47</v>
      </c>
      <c r="G16" s="158">
        <f t="shared" si="0"/>
        <v>-1</v>
      </c>
    </row>
    <row r="17" spans="1:7" ht="30" customHeight="1" x14ac:dyDescent="0.25">
      <c r="A17" s="153">
        <f>SUBTOTAL(3,$C$3:World_Boss[[#This Row],[Name]])</f>
        <v>15</v>
      </c>
      <c r="B17" s="36" t="e" vm="595">
        <f>IFERROR(INDEX(WorldBossImg[Icon], MATCH(World_Boss[[#This Row],[Name]], WorldBossImg[Name], 0)), "")</f>
        <v>#VALUE!</v>
      </c>
      <c r="C17" s="36" t="s">
        <v>240</v>
      </c>
      <c r="D17" s="154">
        <v>2.4</v>
      </c>
      <c r="E17" s="153">
        <f>SUMIF(WorldBoss[Material],World_Boss[[#This Row],[Boss Name]],WorldBoss[Need to Farm])</f>
        <v>0</v>
      </c>
      <c r="F17" s="36">
        <f>IFERROR(INDEX(WorldBossInv[Quantity], MATCH(World_Boss[[#This Row],[Boss Name]], WorldBossInv[Icon], 0)), "")</f>
        <v>2</v>
      </c>
      <c r="G17" s="158">
        <f t="shared" si="0"/>
        <v>-2</v>
      </c>
    </row>
    <row r="18" spans="1:7" ht="30" customHeight="1" x14ac:dyDescent="0.25">
      <c r="A18" s="153">
        <f>SUBTOTAL(3,$C$3:World_Boss[[#This Row],[Name]])</f>
        <v>16</v>
      </c>
      <c r="B18" s="36" t="e" vm="239">
        <f>IFERROR(INDEX(WorldBossImg[Icon], MATCH(World_Boss[[#This Row],[Name]], WorldBossImg[Name], 0)), "")</f>
        <v>#VALUE!</v>
      </c>
      <c r="C18" s="36" t="s">
        <v>249</v>
      </c>
      <c r="D18" s="154">
        <v>2.6</v>
      </c>
      <c r="E18" s="153">
        <f>SUMIF(WorldBoss[Material],World_Boss[[#This Row],[Boss Name]],WorldBoss[Need to Farm])</f>
        <v>40</v>
      </c>
      <c r="F18" s="36">
        <f>IFERROR(INDEX(WorldBossInv[Quantity], MATCH(World_Boss[[#This Row],[Boss Name]], WorldBossInv[Icon], 0)), "")</f>
        <v>41</v>
      </c>
      <c r="G18" s="158">
        <f t="shared" si="0"/>
        <v>-1</v>
      </c>
    </row>
    <row r="19" spans="1:7" ht="30" customHeight="1" x14ac:dyDescent="0.25">
      <c r="A19" s="153">
        <f>SUBTOTAL(3,$C$3:World_Boss[[#This Row],[Name]])</f>
        <v>17</v>
      </c>
      <c r="B19" s="36" t="e" vm="506">
        <f>IFERROR(INDEX(WorldBossImg[Icon], MATCH(World_Boss[[#This Row],[Name]], WorldBossImg[Name], 0)), "")</f>
        <v>#VALUE!</v>
      </c>
      <c r="C19" s="36" t="s">
        <v>260</v>
      </c>
      <c r="D19" s="154">
        <v>3</v>
      </c>
      <c r="E19" s="153">
        <f>SUMIF(WorldBoss[Material],World_Boss[[#This Row],[Boss Name]],WorldBoss[Need to Farm])</f>
        <v>40</v>
      </c>
      <c r="F19" s="36">
        <f>IFERROR(INDEX(WorldBossInv[Quantity], MATCH(World_Boss[[#This Row],[Boss Name]], WorldBossInv[Icon], 0)), "")</f>
        <v>42</v>
      </c>
      <c r="G19" s="158">
        <f t="shared" si="0"/>
        <v>-2</v>
      </c>
    </row>
    <row r="20" spans="1:7" ht="30" customHeight="1" x14ac:dyDescent="0.25">
      <c r="A20" s="153">
        <f>SUBTOTAL(3,$C$3:World_Boss[[#This Row],[Name]])</f>
        <v>18</v>
      </c>
      <c r="B20" s="36" t="e" vm="370">
        <f>IFERROR(INDEX(WorldBossImg[Icon], MATCH(World_Boss[[#This Row],[Name]], WorldBossImg[Name], 0)), "")</f>
        <v>#VALUE!</v>
      </c>
      <c r="C20" s="36" t="s">
        <v>269</v>
      </c>
      <c r="D20" s="154">
        <v>3</v>
      </c>
      <c r="E20" s="153">
        <f>SUMIF(WorldBoss[Material],World_Boss[[#This Row],[Boss Name]],WorldBoss[Need to Farm])</f>
        <v>92</v>
      </c>
      <c r="F20" s="36">
        <f>IFERROR(INDEX(WorldBossInv[Quantity], MATCH(World_Boss[[#This Row],[Boss Name]], WorldBossInv[Icon], 0)), "")</f>
        <v>93</v>
      </c>
      <c r="G20" s="158">
        <f t="shared" si="0"/>
        <v>-1</v>
      </c>
    </row>
    <row r="21" spans="1:7" ht="30" customHeight="1" x14ac:dyDescent="0.25">
      <c r="A21" s="153">
        <f>SUBTOTAL(3,$C$3:World_Boss[[#This Row],[Name]])</f>
        <v>19</v>
      </c>
      <c r="B21" s="36" t="e" vm="250">
        <f>IFERROR(INDEX(WorldBossImg[Icon], MATCH(World_Boss[[#This Row],[Name]], WorldBossImg[Name], 0)), "")</f>
        <v>#VALUE!</v>
      </c>
      <c r="C21" s="36" t="s">
        <v>278</v>
      </c>
      <c r="D21" s="154">
        <v>3.1</v>
      </c>
      <c r="E21" s="153">
        <f>SUMIF(WorldBoss[Material],World_Boss[[#This Row],[Boss Name]],WorldBoss[Need to Farm])</f>
        <v>0</v>
      </c>
      <c r="F21" s="36">
        <f>IFERROR(INDEX(WorldBossInv[Quantity], MATCH(World_Boss[[#This Row],[Boss Name]], WorldBossInv[Icon], 0)), "")</f>
        <v>2</v>
      </c>
      <c r="G21" s="158">
        <f t="shared" si="0"/>
        <v>-2</v>
      </c>
    </row>
    <row r="22" spans="1:7" ht="30" customHeight="1" x14ac:dyDescent="0.25">
      <c r="A22" s="153">
        <f>SUBTOTAL(3,$C$3:World_Boss[[#This Row],[Name]])</f>
        <v>20</v>
      </c>
      <c r="B22" s="36" t="e" vm="389">
        <f>IFERROR(INDEX(WorldBossImg[Icon], MATCH(World_Boss[[#This Row],[Name]], WorldBossImg[Name], 0)), "")</f>
        <v>#VALUE!</v>
      </c>
      <c r="C22" s="36" t="s">
        <v>288</v>
      </c>
      <c r="D22" s="154">
        <v>3.1</v>
      </c>
      <c r="E22" s="153">
        <f>SUMIF(WorldBoss[Material],World_Boss[[#This Row],[Boss Name]],WorldBoss[Need to Farm])</f>
        <v>46</v>
      </c>
      <c r="F22" s="36">
        <f>IFERROR(INDEX(WorldBossInv[Quantity], MATCH(World_Boss[[#This Row],[Boss Name]], WorldBossInv[Icon], 0)), "")</f>
        <v>48</v>
      </c>
      <c r="G22" s="158">
        <f t="shared" si="0"/>
        <v>-2</v>
      </c>
    </row>
    <row r="23" spans="1:7" ht="30" customHeight="1" x14ac:dyDescent="0.25">
      <c r="A23" s="153">
        <f>SUBTOTAL(3,$C$3:World_Boss[[#This Row],[Name]])</f>
        <v>21</v>
      </c>
      <c r="B23" s="36" t="e" vm="522">
        <f>IFERROR(INDEX(WorldBossImg[Icon], MATCH(World_Boss[[#This Row],[Name]], WorldBossImg[Name], 0)), "")</f>
        <v>#VALUE!</v>
      </c>
      <c r="C23" s="36" t="s">
        <v>297</v>
      </c>
      <c r="D23" s="154">
        <v>3.2</v>
      </c>
      <c r="E23" s="153">
        <f>SUMIF(WorldBoss[Material],World_Boss[[#This Row],[Boss Name]],WorldBoss[Need to Farm])</f>
        <v>92</v>
      </c>
      <c r="F23" s="36">
        <f>IFERROR(INDEX(WorldBossInv[Quantity], MATCH(World_Boss[[#This Row],[Boss Name]], WorldBossInv[Icon], 0)), "")</f>
        <v>95</v>
      </c>
      <c r="G23" s="158">
        <f t="shared" si="0"/>
        <v>-3</v>
      </c>
    </row>
    <row r="24" spans="1:7" ht="30" customHeight="1" x14ac:dyDescent="0.25">
      <c r="A24" s="153">
        <f>SUBTOTAL(3,$C$3:World_Boss[[#This Row],[Name]])</f>
        <v>22</v>
      </c>
      <c r="B24" s="36" t="e" vm="29">
        <f>IFERROR(INDEX(WorldBossImg[Icon], MATCH(World_Boss[[#This Row],[Name]], WorldBossImg[Name], 0)), "")</f>
        <v>#VALUE!</v>
      </c>
      <c r="C24" s="36" t="s">
        <v>306</v>
      </c>
      <c r="D24" s="154">
        <v>3.4</v>
      </c>
      <c r="E24" s="153">
        <f>SUMIF(WorldBoss[Material],World_Boss[[#This Row],[Boss Name]],WorldBoss[Need to Farm])</f>
        <v>86</v>
      </c>
      <c r="F24" s="36">
        <f>IFERROR(INDEX(WorldBossInv[Quantity], MATCH(World_Boss[[#This Row],[Boss Name]], WorldBossInv[Icon], 0)), "")</f>
        <v>45</v>
      </c>
      <c r="G24" s="158">
        <f t="shared" si="0"/>
        <v>41</v>
      </c>
    </row>
    <row r="25" spans="1:7" ht="30" customHeight="1" x14ac:dyDescent="0.25">
      <c r="A25" s="153">
        <f>SUBTOTAL(3,$C$3:World_Boss[[#This Row],[Name]])</f>
        <v>23</v>
      </c>
      <c r="B25" s="36" t="e" vm="225">
        <f>IFERROR(INDEX(WorldBossImg[Icon], MATCH(World_Boss[[#This Row],[Name]], WorldBossImg[Name], 0)), "")</f>
        <v>#VALUE!</v>
      </c>
      <c r="C25" s="36" t="s">
        <v>317</v>
      </c>
      <c r="D25" s="154">
        <v>3.6</v>
      </c>
      <c r="E25" s="153">
        <f>SUMIF(WorldBoss[Material],World_Boss[[#This Row],[Boss Name]],WorldBoss[Need to Farm])</f>
        <v>46</v>
      </c>
      <c r="F25" s="36">
        <f>IFERROR(INDEX(WorldBossInv[Quantity], MATCH(World_Boss[[#This Row],[Boss Name]], WorldBossInv[Icon], 0)), "")</f>
        <v>48</v>
      </c>
      <c r="G25" s="158">
        <f t="shared" si="0"/>
        <v>-2</v>
      </c>
    </row>
    <row r="26" spans="1:7" ht="30" customHeight="1" x14ac:dyDescent="0.25">
      <c r="A26" s="153">
        <f>SUBTOTAL(3,$C$3:World_Boss[[#This Row],[Name]])</f>
        <v>24</v>
      </c>
      <c r="B26" s="36" t="e" vm="72">
        <f>IFERROR(INDEX(WorldBossImg[Icon], MATCH(World_Boss[[#This Row],[Name]], WorldBossImg[Name], 0)), "")</f>
        <v>#VALUE!</v>
      </c>
      <c r="C26" s="36" t="s">
        <v>325</v>
      </c>
      <c r="D26" s="154">
        <v>4</v>
      </c>
      <c r="E26" s="153">
        <f>SUMIF(WorldBoss[Material],World_Boss[[#This Row],[Boss Name]],WorldBoss[Need to Farm])</f>
        <v>46</v>
      </c>
      <c r="F26" s="36">
        <f>IFERROR(INDEX(WorldBossInv[Quantity], MATCH(World_Boss[[#This Row],[Boss Name]], WorldBossInv[Icon], 0)), "")</f>
        <v>48</v>
      </c>
      <c r="G26" s="158">
        <f t="shared" si="0"/>
        <v>-2</v>
      </c>
    </row>
    <row r="27" spans="1:7" ht="30" customHeight="1" x14ac:dyDescent="0.25">
      <c r="A27" s="153">
        <f>SUBTOTAL(3,$C$3:World_Boss[[#This Row],[Name]])</f>
        <v>25</v>
      </c>
      <c r="B27" s="36" t="e" vm="514">
        <f>IFERROR(INDEX(WorldBossImg[Icon], MATCH(World_Boss[[#This Row],[Name]], WorldBossImg[Name], 0)), "")</f>
        <v>#VALUE!</v>
      </c>
      <c r="C27" s="36" t="s">
        <v>333</v>
      </c>
      <c r="D27" s="154">
        <v>4</v>
      </c>
      <c r="E27" s="153">
        <f>SUMIF(WorldBoss[Material],World_Boss[[#This Row],[Boss Name]],WorldBoss[Need to Farm])</f>
        <v>46</v>
      </c>
      <c r="F27" s="36">
        <f>IFERROR(INDEX(WorldBossInv[Quantity], MATCH(World_Boss[[#This Row],[Boss Name]], WorldBossInv[Icon], 0)), "")</f>
        <v>49</v>
      </c>
      <c r="G27" s="158">
        <f t="shared" si="0"/>
        <v>-3</v>
      </c>
    </row>
    <row r="28" spans="1:7" ht="30" customHeight="1" x14ac:dyDescent="0.25">
      <c r="A28" s="153">
        <f>SUBTOTAL(3,$C$3:World_Boss[[#This Row],[Name]])</f>
        <v>26</v>
      </c>
      <c r="B28" s="36" t="e" vm="432">
        <f>IFERROR(INDEX(WorldBossImg[Icon], MATCH(World_Boss[[#This Row],[Name]], WorldBossImg[Name], 0)), "")</f>
        <v>#VALUE!</v>
      </c>
      <c r="C28" s="36" t="s">
        <v>344</v>
      </c>
      <c r="D28" s="154">
        <v>4</v>
      </c>
      <c r="E28" s="153">
        <f>SUMIF(WorldBoss[Material],World_Boss[[#This Row],[Boss Name]],WorldBoss[Need to Farm])</f>
        <v>46</v>
      </c>
      <c r="F28" s="36">
        <f>IFERROR(INDEX(WorldBossInv[Quantity], MATCH(World_Boss[[#This Row],[Boss Name]], WorldBossInv[Icon], 0)), "")</f>
        <v>46</v>
      </c>
      <c r="G28" s="158">
        <f t="shared" si="0"/>
        <v>0</v>
      </c>
    </row>
    <row r="29" spans="1:7" ht="30" customHeight="1" x14ac:dyDescent="0.25">
      <c r="A29" s="153">
        <f>SUBTOTAL(3,$C$3:World_Boss[[#This Row],[Name]])</f>
        <v>27</v>
      </c>
      <c r="B29" s="36" t="e" vm="560">
        <f>IFERROR(INDEX(WorldBossImg[Icon], MATCH(World_Boss[[#This Row],[Name]], WorldBossImg[Name], 0)), "")</f>
        <v>#VALUE!</v>
      </c>
      <c r="C29" s="36" t="s">
        <v>353</v>
      </c>
      <c r="D29" s="154">
        <v>4.0999999999999996</v>
      </c>
      <c r="E29" s="153">
        <f>SUMIF(WorldBoss[Material],World_Boss[[#This Row],[Boss Name]],WorldBoss[Need to Farm])</f>
        <v>0</v>
      </c>
      <c r="F29" s="36">
        <f>IFERROR(INDEX(WorldBossInv[Quantity], MATCH(World_Boss[[#This Row],[Boss Name]], WorldBossInv[Icon], 0)), "")</f>
        <v>1</v>
      </c>
      <c r="G29" s="158">
        <f t="shared" si="0"/>
        <v>-1</v>
      </c>
    </row>
    <row r="30" spans="1:7" ht="30" customHeight="1" x14ac:dyDescent="0.25">
      <c r="A30" s="153">
        <f>SUBTOTAL(3,$C$3:World_Boss[[#This Row],[Name]])</f>
        <v>28</v>
      </c>
      <c r="B30" s="36" t="e" vm="92">
        <f>IFERROR(INDEX(WorldBossImg[Icon], MATCH(World_Boss[[#This Row],[Name]], WorldBossImg[Name], 0)), "")</f>
        <v>#VALUE!</v>
      </c>
      <c r="C30" s="36" t="s">
        <v>362</v>
      </c>
      <c r="D30" s="154">
        <v>4.0999999999999996</v>
      </c>
      <c r="E30" s="153">
        <f>SUMIF(WorldBoss[Material],World_Boss[[#This Row],[Boss Name]],WorldBoss[Need to Farm])</f>
        <v>0</v>
      </c>
      <c r="F30" s="36">
        <f>IFERROR(INDEX(WorldBossInv[Quantity], MATCH(World_Boss[[#This Row],[Boss Name]], WorldBossInv[Icon], 0)), "")</f>
        <v>0</v>
      </c>
      <c r="G30" s="158">
        <f t="shared" si="0"/>
        <v>0</v>
      </c>
    </row>
    <row r="31" spans="1:7" ht="30" customHeight="1" x14ac:dyDescent="0.25">
      <c r="A31" s="153">
        <f>SUBTOTAL(3,$C$3:World_Boss[[#This Row],[Name]])</f>
        <v>29</v>
      </c>
      <c r="B31" s="36" t="e" vm="113">
        <f>IFERROR(INDEX(WorldBossImg[Icon], MATCH(World_Boss[[#This Row],[Name]], WorldBossImg[Name], 0)), "")</f>
        <v>#VALUE!</v>
      </c>
      <c r="C31" s="36" t="s">
        <v>373</v>
      </c>
      <c r="D31" s="154">
        <v>4.2</v>
      </c>
      <c r="E31" s="153">
        <f>SUMIF(WorldBoss[Material],World_Boss[[#This Row],[Boss Name]],WorldBoss[Need to Farm])</f>
        <v>0</v>
      </c>
      <c r="F31" s="36">
        <f>IFERROR(INDEX(WorldBossInv[Quantity], MATCH(World_Boss[[#This Row],[Boss Name]], WorldBossInv[Icon], 0)), "")</f>
        <v>1</v>
      </c>
      <c r="G31" s="158">
        <f t="shared" si="0"/>
        <v>-1</v>
      </c>
    </row>
    <row r="32" spans="1:7" ht="30" customHeight="1" x14ac:dyDescent="0.25">
      <c r="A32" s="153">
        <f>SUBTOTAL(3,$C$3:World_Boss[[#This Row],[Name]])</f>
        <v>30</v>
      </c>
      <c r="B32" s="36" t="e" vm="442">
        <f>IFERROR(INDEX(WorldBossImg[Icon], MATCH(World_Boss[[#This Row],[Name]], WorldBossImg[Name], 0)), "")</f>
        <v>#VALUE!</v>
      </c>
      <c r="C32" s="36" t="s">
        <v>381</v>
      </c>
      <c r="D32" s="154">
        <v>4.4000000000000004</v>
      </c>
      <c r="E32" s="153">
        <f>SUMIF(WorldBoss[Material],World_Boss[[#This Row],[Boss Name]],WorldBoss[Need to Farm])</f>
        <v>20</v>
      </c>
      <c r="F32" s="36">
        <f>IFERROR(INDEX(WorldBossInv[Quantity], MATCH(World_Boss[[#This Row],[Boss Name]], WorldBossInv[Icon], 0)), "")</f>
        <v>20</v>
      </c>
      <c r="G32" s="158">
        <f t="shared" si="0"/>
        <v>0</v>
      </c>
    </row>
    <row r="33" spans="1:7" ht="30" customHeight="1" thickBot="1" x14ac:dyDescent="0.3">
      <c r="A33" s="153">
        <f>SUBTOTAL(3,$C$3:World_Boss[[#This Row],[Name]])</f>
        <v>31</v>
      </c>
      <c r="B33" s="36" t="e" vm="547">
        <f>IFERROR(INDEX(WorldBossImg[Icon], MATCH(World_Boss[[#This Row],[Name]], WorldBossImg[Name], 0)), "")</f>
        <v>#VALUE!</v>
      </c>
      <c r="C33" s="36" t="s">
        <v>390</v>
      </c>
      <c r="D33" s="154">
        <v>4.5999999999999996</v>
      </c>
      <c r="E33" s="159">
        <f>SUMIF(WorldBoss[Material],World_Boss[[#This Row],[Boss Name]],WorldBoss[Need to Farm])</f>
        <v>0</v>
      </c>
      <c r="F33" s="160">
        <f>IFERROR(INDEX(WorldBossInv[Quantity], MATCH(World_Boss[[#This Row],[Boss Name]], WorldBossInv[Icon], 0)), "")</f>
        <v>0</v>
      </c>
      <c r="G33" s="161">
        <f t="shared" si="0"/>
        <v>0</v>
      </c>
    </row>
    <row r="34" spans="1:7" ht="16.5" thickBot="1" x14ac:dyDescent="0.3">
      <c r="A34" s="162" t="s">
        <v>706</v>
      </c>
      <c r="B34" s="163"/>
      <c r="C34" s="163"/>
      <c r="D34" s="164"/>
      <c r="E34" s="160">
        <f>SUBTOTAL(109,World_Boss[Mats Needed])</f>
        <v>1400</v>
      </c>
      <c r="F34" s="160">
        <f>SUBTOTAL(109,World_Boss[Mats Acquired])</f>
        <v>1404</v>
      </c>
      <c r="G34" s="161">
        <f>SUMIF(World_Boss[Remaining Mats],"&gt;=0")</f>
        <v>41</v>
      </c>
    </row>
  </sheetData>
  <protectedRanges>
    <protectedRange sqref="F3:F31" name="World Boss Mats"/>
  </protectedRanges>
  <mergeCells count="1">
    <mergeCell ref="A1:G1"/>
  </mergeCells>
  <dataValidations count="1">
    <dataValidation type="whole" operator="greaterThanOrEqual" allowBlank="1" showInputMessage="1" showErrorMessage="1" errorTitle="Numeric Values Only!" error="Please put numeric values only." sqref="F3:F33" xr:uid="{2A86AE08-7CF5-4CD4-97E1-B726D9C1700D}">
      <formula1>0</formula1>
    </dataValidation>
  </dataValidations>
  <pageMargins left="0.7" right="0.7" top="0.75" bottom="0.75" header="0.3" footer="0.3"/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V19"/>
  <sheetViews>
    <sheetView workbookViewId="0">
      <selection activeCell="V19" sqref="V19"/>
    </sheetView>
  </sheetViews>
  <sheetFormatPr defaultColWidth="9.140625" defaultRowHeight="15.75" x14ac:dyDescent="0.25"/>
  <cols>
    <col min="1" max="1" width="8.28515625" style="36" customWidth="1"/>
    <col min="2" max="2" width="21.140625" style="36" bestFit="1" customWidth="1"/>
    <col min="3" max="3" width="21.28515625" style="36" hidden="1" customWidth="1"/>
    <col min="4" max="4" width="12.7109375" style="36" customWidth="1"/>
    <col min="5" max="5" width="9.140625" style="36"/>
    <col min="6" max="6" width="9.28515625" style="36" bestFit="1" customWidth="1"/>
    <col min="7" max="7" width="9.140625" style="36"/>
    <col min="8" max="8" width="9.28515625" style="36" bestFit="1" customWidth="1"/>
    <col min="9" max="9" width="9.140625" style="36"/>
    <col min="10" max="10" width="9.28515625" style="36" bestFit="1" customWidth="1"/>
    <col min="11" max="11" width="9.140625" style="36"/>
    <col min="12" max="12" width="9.28515625" style="36" bestFit="1" customWidth="1"/>
    <col min="13" max="13" width="9.140625" style="36"/>
    <col min="14" max="14" width="9.28515625" style="36" bestFit="1" customWidth="1"/>
    <col min="15" max="15" width="9.140625" style="36"/>
    <col min="16" max="16" width="9.28515625" style="36" bestFit="1" customWidth="1"/>
    <col min="17" max="17" width="9.140625" style="36"/>
    <col min="18" max="18" width="9.28515625" style="36" bestFit="1" customWidth="1"/>
    <col min="19" max="19" width="9.140625" style="36"/>
    <col min="20" max="20" width="9.28515625" style="36" bestFit="1" customWidth="1"/>
    <col min="21" max="21" width="9.140625" style="36" customWidth="1"/>
    <col min="22" max="22" width="9.42578125" style="36" bestFit="1" customWidth="1"/>
    <col min="23" max="16384" width="9.140625" style="36"/>
  </cols>
  <sheetData>
    <row r="1" spans="1:22" ht="33.75" customHeight="1" thickBot="1" x14ac:dyDescent="0.3">
      <c r="A1" s="209" t="s">
        <v>711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1"/>
    </row>
    <row r="2" spans="1:22" x14ac:dyDescent="0.25">
      <c r="A2" s="166" t="s">
        <v>670</v>
      </c>
      <c r="B2" s="167" t="s">
        <v>2</v>
      </c>
      <c r="C2" s="167" t="s">
        <v>671</v>
      </c>
      <c r="D2" s="168" t="s">
        <v>707</v>
      </c>
      <c r="E2" s="212" t="s">
        <v>754</v>
      </c>
      <c r="F2" s="213"/>
      <c r="G2" s="213"/>
      <c r="H2" s="213"/>
      <c r="I2" s="213"/>
      <c r="J2" s="214"/>
      <c r="K2" s="212" t="s">
        <v>712</v>
      </c>
      <c r="L2" s="213"/>
      <c r="M2" s="213"/>
      <c r="N2" s="213"/>
      <c r="O2" s="213"/>
      <c r="P2" s="214"/>
      <c r="Q2" s="212" t="s">
        <v>713</v>
      </c>
      <c r="R2" s="213"/>
      <c r="S2" s="213"/>
      <c r="T2" s="213"/>
      <c r="U2" s="213"/>
      <c r="V2" s="214"/>
    </row>
    <row r="3" spans="1:22" ht="15" customHeight="1" thickBot="1" x14ac:dyDescent="0.3">
      <c r="A3" s="169" t="s">
        <v>670</v>
      </c>
      <c r="B3" s="170" t="s">
        <v>2</v>
      </c>
      <c r="C3" s="171" t="s">
        <v>671</v>
      </c>
      <c r="D3" s="172" t="s">
        <v>707</v>
      </c>
      <c r="E3" s="169" t="s">
        <v>681</v>
      </c>
      <c r="F3" s="170" t="s">
        <v>758</v>
      </c>
      <c r="G3" s="170" t="s">
        <v>682</v>
      </c>
      <c r="H3" s="170" t="s">
        <v>759</v>
      </c>
      <c r="I3" s="170" t="s">
        <v>683</v>
      </c>
      <c r="J3" s="172" t="s">
        <v>757</v>
      </c>
      <c r="K3" s="169" t="s">
        <v>764</v>
      </c>
      <c r="L3" s="170" t="s">
        <v>765</v>
      </c>
      <c r="M3" s="170" t="s">
        <v>762</v>
      </c>
      <c r="N3" s="170" t="s">
        <v>763</v>
      </c>
      <c r="O3" s="170" t="s">
        <v>755</v>
      </c>
      <c r="P3" s="172" t="s">
        <v>761</v>
      </c>
      <c r="Q3" s="169" t="s">
        <v>768</v>
      </c>
      <c r="R3" s="170" t="s">
        <v>769</v>
      </c>
      <c r="S3" s="170" t="s">
        <v>766</v>
      </c>
      <c r="T3" s="170" t="s">
        <v>767</v>
      </c>
      <c r="U3" s="170" t="s">
        <v>756</v>
      </c>
      <c r="V3" s="172" t="s">
        <v>760</v>
      </c>
    </row>
    <row r="4" spans="1:22" ht="30" customHeight="1" x14ac:dyDescent="0.25">
      <c r="A4" s="153">
        <f>SUBTOTAL(3,$B$4:Talent_Books[[#This Row],[Book Region]])</f>
        <v>1</v>
      </c>
      <c r="B4" s="36" t="s">
        <v>714</v>
      </c>
      <c r="C4" s="173" t="s">
        <v>826</v>
      </c>
      <c r="D4" s="174">
        <v>1</v>
      </c>
      <c r="E4" s="153" t="e" vm="351">
        <f>IFERROR(INDEX(TalentBooksImg[Icon], MATCH(_xlfn.CONCAT("philosophiesof",Talent_Books[[#This Row],[NameHelper]]), TalentBooksImg[Name], 0)), "")</f>
        <v>#VALUE!</v>
      </c>
      <c r="F4" s="36">
        <f>SUMIF(TalentBook[Book],Talent_Books[[#This Row],[4* Book]],TalentBook[4* Book])</f>
        <v>538</v>
      </c>
      <c r="G4" s="165" t="e" vm="725">
        <f>IFERROR(INDEX(TalentBooksImg[Icon], MATCH(_xlfn.CONCAT("guideto",Talent_Books[[#This Row],[NameHelper]]), TalentBooksImg[Name], 0)), "")</f>
        <v>#VALUE!</v>
      </c>
      <c r="H4" s="175">
        <f>SUMIF(TalentBook[Book],Talent_Books[[#This Row],[4* Book]],TalentBook[3* Book])</f>
        <v>249</v>
      </c>
      <c r="I4" s="36" t="e" vm="731">
        <f>IFERROR(INDEX(TalentBooksImg[Icon], MATCH(_xlfn.CONCAT("teachingsof",Talent_Books[[#This Row],[NameHelper]]), TalentBooksImg[Name], 0)), "")</f>
        <v>#VALUE!</v>
      </c>
      <c r="J4" s="158">
        <f>SUMIF(TalentBook[Book],Talent_Books[[#This Row],[4* Book]],TalentBook[2* Book])</f>
        <v>24</v>
      </c>
      <c r="K4" s="153" t="e" vm="351">
        <f>IFERROR(INDEX(TalentBooksImg[Icon], MATCH(_xlfn.CONCAT("philosophiesof",Talent_Books[[#This Row],[NameHelper]]), TalentBooksImg[Name], 0)), "")</f>
        <v>#VALUE!</v>
      </c>
      <c r="L4" s="36">
        <f>IFERROR(INDEX(TalentBooksInv[Quantity], MATCH(Talent_Books[[#This Row],[4* Book2]], TalentBooksInv[Icon], 0)), "")</f>
        <v>36</v>
      </c>
      <c r="M4" s="165" t="e" vm="725">
        <f>IFERROR(INDEX(TalentBooksImg[Icon], MATCH(_xlfn.CONCAT("guideto",Talent_Books[[#This Row],[NameHelper]]), TalentBooksImg[Name], 0)), "")</f>
        <v>#VALUE!</v>
      </c>
      <c r="N4" s="175">
        <f>IFERROR(INDEX(TalentBooksInv[Quantity], MATCH(Talent_Books[[#This Row],[3* Book2]], TalentBooksInv[Icon], 0)), "")</f>
        <v>81</v>
      </c>
      <c r="O4" s="36" t="e" vm="731">
        <f>IFERROR(INDEX(TalentBooksImg[Icon], MATCH(_xlfn.CONCAT("teachingsof",Talent_Books[[#This Row],[NameHelper]]), TalentBooksImg[Name], 0)), "")</f>
        <v>#VALUE!</v>
      </c>
      <c r="P4" s="158">
        <f>IFERROR(INDEX(TalentBooksInv[Quantity], MATCH(Talent_Books[[#This Row],[2* Book2]], TalentBooksInv[Icon], 0)), "")</f>
        <v>50</v>
      </c>
      <c r="Q4" s="153" t="e" vm="351">
        <f>IFERROR(INDEX(TalentBooksImg[Icon], MATCH(_xlfn.CONCAT("philosophiesof",Talent_Books[[#This Row],[NameHelper]]), TalentBooksImg[Name], 0)), "")</f>
        <v>#VALUE!</v>
      </c>
      <c r="R4" s="36">
        <f>Talent_Books[[#This Row],[4* Need]]-Talent_Books[[#This Row],[4* Need2]]</f>
        <v>502</v>
      </c>
      <c r="S4" s="165" t="e" vm="725">
        <f>IFERROR(INDEX(TalentBooksImg[Icon], MATCH(_xlfn.CONCAT("guideto",Talent_Books[[#This Row],[NameHelper]]), TalentBooksImg[Name], 0)), "")</f>
        <v>#VALUE!</v>
      </c>
      <c r="T4" s="175">
        <f>Talent_Books[[#This Row],[3* Need]]-Talent_Books[[#This Row],[3* Need2]]</f>
        <v>168</v>
      </c>
      <c r="U4" s="36" t="e" vm="731">
        <f>IFERROR(INDEX(TalentBooksImg[Icon], MATCH(_xlfn.CONCAT("teachingsof",Talent_Books[[#This Row],[NameHelper]]), TalentBooksImg[Name], 0)), "")</f>
        <v>#VALUE!</v>
      </c>
      <c r="V4" s="158">
        <f>Talent_Books[[#This Row],[2* Need]]-Talent_Books[[#This Row],[2* Need2]]</f>
        <v>-26</v>
      </c>
    </row>
    <row r="5" spans="1:22" ht="30" customHeight="1" x14ac:dyDescent="0.25">
      <c r="A5" s="153">
        <f>SUBTOTAL(3,$B$4:Talent_Books[[#This Row],[Book Region]])</f>
        <v>2</v>
      </c>
      <c r="B5" s="36" t="s">
        <v>714</v>
      </c>
      <c r="C5" s="173" t="s">
        <v>827</v>
      </c>
      <c r="D5" s="174">
        <v>1</v>
      </c>
      <c r="E5" s="153" t="e" vm="53">
        <f>IFERROR(INDEX(TalentBooksImg[Icon], MATCH(_xlfn.CONCAT("philosophiesof",Talent_Books[[#This Row],[NameHelper]]), TalentBooksImg[Name], 0)), "")</f>
        <v>#VALUE!</v>
      </c>
      <c r="F5" s="36">
        <f>SUMIF(TalentBook[Book],Talent_Books[[#This Row],[4* Book]],TalentBook[4* Book])</f>
        <v>628</v>
      </c>
      <c r="G5" s="165" t="e" vm="740">
        <f>IFERROR(INDEX(TalentBooksImg[Icon], MATCH(_xlfn.CONCAT("guideto",Talent_Books[[#This Row],[NameHelper]]), TalentBooksImg[Name], 0)), "")</f>
        <v>#VALUE!</v>
      </c>
      <c r="H5" s="175">
        <f>SUMIF(TalentBook[Book],Talent_Books[[#This Row],[4* Book]],TalentBook[3* Book])</f>
        <v>240</v>
      </c>
      <c r="I5" s="36" t="e" vm="743">
        <f>IFERROR(INDEX(TalentBooksImg[Icon], MATCH(_xlfn.CONCAT("teachingsof",Talent_Books[[#This Row],[NameHelper]]), TalentBooksImg[Name], 0)), "")</f>
        <v>#VALUE!</v>
      </c>
      <c r="J5" s="158">
        <f>SUMIF(TalentBook[Book],Talent_Books[[#This Row],[4* Book]],TalentBook[2* Book])</f>
        <v>33</v>
      </c>
      <c r="K5" s="153" t="e" vm="53">
        <f>IFERROR(INDEX(TalentBooksImg[Icon], MATCH(_xlfn.CONCAT("philosophiesof",Talent_Books[[#This Row],[NameHelper]]), TalentBooksImg[Name], 0)), "")</f>
        <v>#VALUE!</v>
      </c>
      <c r="L5" s="36">
        <f>IFERROR(INDEX(TalentBooksInv[Quantity], MATCH(Talent_Books[[#This Row],[4* Book2]], TalentBooksInv[Icon], 0)), "")</f>
        <v>34</v>
      </c>
      <c r="M5" s="165" t="e" vm="740">
        <f>IFERROR(INDEX(TalentBooksImg[Icon], MATCH(_xlfn.CONCAT("guideto",Talent_Books[[#This Row],[NameHelper]]), TalentBooksImg[Name], 0)), "")</f>
        <v>#VALUE!</v>
      </c>
      <c r="N5" s="175">
        <f>IFERROR(INDEX(TalentBooksInv[Quantity], MATCH(Talent_Books[[#This Row],[3* Book2]], TalentBooksInv[Icon], 0)), "")</f>
        <v>59</v>
      </c>
      <c r="O5" s="36" t="e" vm="743">
        <f>IFERROR(INDEX(TalentBooksImg[Icon], MATCH(_xlfn.CONCAT("teachingsof",Talent_Books[[#This Row],[NameHelper]]), TalentBooksImg[Name], 0)), "")</f>
        <v>#VALUE!</v>
      </c>
      <c r="P5" s="158">
        <f>IFERROR(INDEX(TalentBooksInv[Quantity], MATCH(Talent_Books[[#This Row],[2* Book2]], TalentBooksInv[Icon], 0)), "")</f>
        <v>44</v>
      </c>
      <c r="Q5" s="153" t="e" vm="53">
        <f>IFERROR(INDEX(TalentBooksImg[Icon], MATCH(_xlfn.CONCAT("philosophiesof",Talent_Books[[#This Row],[NameHelper]]), TalentBooksImg[Name], 0)), "")</f>
        <v>#VALUE!</v>
      </c>
      <c r="R5" s="36">
        <f>Talent_Books[[#This Row],[4* Need]]-Talent_Books[[#This Row],[4* Need2]]</f>
        <v>594</v>
      </c>
      <c r="S5" s="165" t="e" vm="740">
        <f>IFERROR(INDEX(TalentBooksImg[Icon], MATCH(_xlfn.CONCAT("guideto",Talent_Books[[#This Row],[NameHelper]]), TalentBooksImg[Name], 0)), "")</f>
        <v>#VALUE!</v>
      </c>
      <c r="T5" s="175">
        <f>Talent_Books[[#This Row],[3* Need]]-Talent_Books[[#This Row],[3* Need2]]</f>
        <v>181</v>
      </c>
      <c r="U5" s="36" t="e" vm="743">
        <f>IFERROR(INDEX(TalentBooksImg[Icon], MATCH(_xlfn.CONCAT("teachingsof",Talent_Books[[#This Row],[NameHelper]]), TalentBooksImg[Name], 0)), "")</f>
        <v>#VALUE!</v>
      </c>
      <c r="V5" s="158">
        <f>Talent_Books[[#This Row],[2* Need]]-Talent_Books[[#This Row],[2* Need2]]</f>
        <v>-11</v>
      </c>
    </row>
    <row r="6" spans="1:22" ht="30" customHeight="1" x14ac:dyDescent="0.25">
      <c r="A6" s="153">
        <f>SUBTOTAL(3,$B$4:Talent_Books[[#This Row],[Book Region]])</f>
        <v>3</v>
      </c>
      <c r="B6" s="36" t="s">
        <v>714</v>
      </c>
      <c r="C6" s="173" t="s">
        <v>828</v>
      </c>
      <c r="D6" s="174">
        <v>1</v>
      </c>
      <c r="E6" s="153" t="e" vm="9">
        <f>IFERROR(INDEX(TalentBooksImg[Icon], MATCH(_xlfn.CONCAT("philosophiesof",Talent_Books[[#This Row],[NameHelper]]), TalentBooksImg[Name], 0)), "")</f>
        <v>#VALUE!</v>
      </c>
      <c r="F6" s="36">
        <f>SUMIF(TalentBook[Book],Talent_Books[[#This Row],[4* Book]],TalentBook[4* Book])</f>
        <v>672</v>
      </c>
      <c r="G6" s="165" t="e" vm="750">
        <f>IFERROR(INDEX(TalentBooksImg[Icon], MATCH(_xlfn.CONCAT("guideto",Talent_Books[[#This Row],[NameHelper]]), TalentBooksImg[Name], 0)), "")</f>
        <v>#VALUE!</v>
      </c>
      <c r="H6" s="175">
        <f>SUMIF(TalentBook[Book],Talent_Books[[#This Row],[4* Book]],TalentBook[3* Book])</f>
        <v>336</v>
      </c>
      <c r="I6" s="36" t="e" vm="754">
        <f>IFERROR(INDEX(TalentBooksImg[Icon], MATCH(_xlfn.CONCAT("teachingsof",Talent_Books[[#This Row],[NameHelper]]), TalentBooksImg[Name], 0)), "")</f>
        <v>#VALUE!</v>
      </c>
      <c r="J6" s="158">
        <f>SUMIF(TalentBook[Book],Talent_Books[[#This Row],[4* Book]],TalentBook[2* Book])</f>
        <v>48</v>
      </c>
      <c r="K6" s="153" t="e" vm="9">
        <f>IFERROR(INDEX(TalentBooksImg[Icon], MATCH(_xlfn.CONCAT("philosophiesof",Talent_Books[[#This Row],[NameHelper]]), TalentBooksImg[Name], 0)), "")</f>
        <v>#VALUE!</v>
      </c>
      <c r="L6" s="36">
        <f>IFERROR(INDEX(TalentBooksInv[Quantity], MATCH(Talent_Books[[#This Row],[4* Book2]], TalentBooksInv[Icon], 0)), "")</f>
        <v>10</v>
      </c>
      <c r="M6" s="165" t="e" vm="750">
        <f>IFERROR(INDEX(TalentBooksImg[Icon], MATCH(_xlfn.CONCAT("guideto",Talent_Books[[#This Row],[NameHelper]]), TalentBooksImg[Name], 0)), "")</f>
        <v>#VALUE!</v>
      </c>
      <c r="N6" s="175">
        <f>IFERROR(INDEX(TalentBooksInv[Quantity], MATCH(Talent_Books[[#This Row],[3* Book2]], TalentBooksInv[Icon], 0)), "")</f>
        <v>61</v>
      </c>
      <c r="O6" s="36" t="e" vm="754">
        <f>IFERROR(INDEX(TalentBooksImg[Icon], MATCH(_xlfn.CONCAT("teachingsof",Talent_Books[[#This Row],[NameHelper]]), TalentBooksImg[Name], 0)), "")</f>
        <v>#VALUE!</v>
      </c>
      <c r="P6" s="158">
        <f>IFERROR(INDEX(TalentBooksInv[Quantity], MATCH(Talent_Books[[#This Row],[2* Book2]], TalentBooksInv[Icon], 0)), "")</f>
        <v>49</v>
      </c>
      <c r="Q6" s="153" t="e" vm="9">
        <f>IFERROR(INDEX(TalentBooksImg[Icon], MATCH(_xlfn.CONCAT("philosophiesof",Talent_Books[[#This Row],[NameHelper]]), TalentBooksImg[Name], 0)), "")</f>
        <v>#VALUE!</v>
      </c>
      <c r="R6" s="36">
        <f>Talent_Books[[#This Row],[4* Need]]-Talent_Books[[#This Row],[4* Need2]]</f>
        <v>662</v>
      </c>
      <c r="S6" s="165" t="e" vm="750">
        <f>IFERROR(INDEX(TalentBooksImg[Icon], MATCH(_xlfn.CONCAT("guideto",Talent_Books[[#This Row],[NameHelper]]), TalentBooksImg[Name], 0)), "")</f>
        <v>#VALUE!</v>
      </c>
      <c r="T6" s="175">
        <f>Talent_Books[[#This Row],[3* Need]]-Talent_Books[[#This Row],[3* Need2]]</f>
        <v>275</v>
      </c>
      <c r="U6" s="36" t="e" vm="754">
        <f>IFERROR(INDEX(TalentBooksImg[Icon], MATCH(_xlfn.CONCAT("teachingsof",Talent_Books[[#This Row],[NameHelper]]), TalentBooksImg[Name], 0)), "")</f>
        <v>#VALUE!</v>
      </c>
      <c r="V6" s="158">
        <f>Talent_Books[[#This Row],[2* Need]]-Talent_Books[[#This Row],[2* Need2]]</f>
        <v>-1</v>
      </c>
    </row>
    <row r="7" spans="1:22" ht="30" customHeight="1" x14ac:dyDescent="0.25">
      <c r="A7" s="153">
        <f>SUBTOTAL(3,$B$4:Talent_Books[[#This Row],[Book Region]])</f>
        <v>4</v>
      </c>
      <c r="B7" s="36" t="s">
        <v>715</v>
      </c>
      <c r="C7" s="173" t="s">
        <v>829</v>
      </c>
      <c r="D7" s="174">
        <v>1.01</v>
      </c>
      <c r="E7" s="153" t="e" vm="212">
        <f>IFERROR(INDEX(TalentBooksImg[Icon], MATCH(_xlfn.CONCAT("philosophiesof",Talent_Books[[#This Row],[NameHelper]]), TalentBooksImg[Name], 0)), "")</f>
        <v>#VALUE!</v>
      </c>
      <c r="F7" s="36">
        <f>SUMIF(TalentBook[Book],Talent_Books[[#This Row],[4* Book]],TalentBook[4* Book])</f>
        <v>534</v>
      </c>
      <c r="G7" s="165" t="e" vm="760">
        <f>IFERROR(INDEX(TalentBooksImg[Icon], MATCH(_xlfn.CONCAT("guideto",Talent_Books[[#This Row],[NameHelper]]), TalentBooksImg[Name], 0)), "")</f>
        <v>#VALUE!</v>
      </c>
      <c r="H7" s="175">
        <f>SUMIF(TalentBook[Book],Talent_Books[[#This Row],[4* Book]],TalentBook[3* Book])</f>
        <v>162</v>
      </c>
      <c r="I7" s="36" t="e" vm="764">
        <f>IFERROR(INDEX(TalentBooksImg[Icon], MATCH(_xlfn.CONCAT("teachingsof",Talent_Books[[#This Row],[NameHelper]]), TalentBooksImg[Name], 0)), "")</f>
        <v>#VALUE!</v>
      </c>
      <c r="J7" s="158">
        <f>SUMIF(TalentBook[Book],Talent_Books[[#This Row],[4* Book]],TalentBook[2* Book])</f>
        <v>15</v>
      </c>
      <c r="K7" s="153" t="e" vm="212">
        <f>IFERROR(INDEX(TalentBooksImg[Icon], MATCH(_xlfn.CONCAT("philosophiesof",Talent_Books[[#This Row],[NameHelper]]), TalentBooksImg[Name], 0)), "")</f>
        <v>#VALUE!</v>
      </c>
      <c r="L7" s="36">
        <f>IFERROR(INDEX(TalentBooksInv[Quantity], MATCH(Talent_Books[[#This Row],[4* Book2]], TalentBooksInv[Icon], 0)), "")</f>
        <v>17</v>
      </c>
      <c r="M7" s="165" t="e" vm="760">
        <f>IFERROR(INDEX(TalentBooksImg[Icon], MATCH(_xlfn.CONCAT("guideto",Talent_Books[[#This Row],[NameHelper]]), TalentBooksImg[Name], 0)), "")</f>
        <v>#VALUE!</v>
      </c>
      <c r="N7" s="175">
        <f>IFERROR(INDEX(TalentBooksInv[Quantity], MATCH(Talent_Books[[#This Row],[3* Book2]], TalentBooksInv[Icon], 0)), "")</f>
        <v>126</v>
      </c>
      <c r="O7" s="36" t="e" vm="764">
        <f>IFERROR(INDEX(TalentBooksImg[Icon], MATCH(_xlfn.CONCAT("teachingsof",Talent_Books[[#This Row],[NameHelper]]), TalentBooksImg[Name], 0)), "")</f>
        <v>#VALUE!</v>
      </c>
      <c r="P7" s="158">
        <f>IFERROR(INDEX(TalentBooksInv[Quantity], MATCH(Talent_Books[[#This Row],[2* Book2]], TalentBooksInv[Icon], 0)), "")</f>
        <v>121</v>
      </c>
      <c r="Q7" s="153" t="e" vm="212">
        <f>IFERROR(INDEX(TalentBooksImg[Icon], MATCH(_xlfn.CONCAT("philosophiesof",Talent_Books[[#This Row],[NameHelper]]), TalentBooksImg[Name], 0)), "")</f>
        <v>#VALUE!</v>
      </c>
      <c r="R7" s="36">
        <f>Talent_Books[[#This Row],[4* Need]]-Talent_Books[[#This Row],[4* Need2]]</f>
        <v>517</v>
      </c>
      <c r="S7" s="165" t="e" vm="760">
        <f>IFERROR(INDEX(TalentBooksImg[Icon], MATCH(_xlfn.CONCAT("guideto",Talent_Books[[#This Row],[NameHelper]]), TalentBooksImg[Name], 0)), "")</f>
        <v>#VALUE!</v>
      </c>
      <c r="T7" s="175">
        <f>Talent_Books[[#This Row],[3* Need]]-Talent_Books[[#This Row],[3* Need2]]</f>
        <v>36</v>
      </c>
      <c r="U7" s="36" t="e" vm="764">
        <f>IFERROR(INDEX(TalentBooksImg[Icon], MATCH(_xlfn.CONCAT("teachingsof",Talent_Books[[#This Row],[NameHelper]]), TalentBooksImg[Name], 0)), "")</f>
        <v>#VALUE!</v>
      </c>
      <c r="V7" s="158">
        <f>Talent_Books[[#This Row],[2* Need]]-Talent_Books[[#This Row],[2* Need2]]</f>
        <v>-106</v>
      </c>
    </row>
    <row r="8" spans="1:22" ht="30" customHeight="1" x14ac:dyDescent="0.25">
      <c r="A8" s="153">
        <f>SUBTOTAL(3,$B$4:Talent_Books[[#This Row],[Book Region]])</f>
        <v>5</v>
      </c>
      <c r="B8" s="36" t="s">
        <v>715</v>
      </c>
      <c r="C8" s="173" t="s">
        <v>830</v>
      </c>
      <c r="D8" s="174">
        <v>1.01</v>
      </c>
      <c r="E8" s="153" t="e" vm="151">
        <f>IFERROR(INDEX(TalentBooksImg[Icon], MATCH(_xlfn.CONCAT("philosophiesof",Talent_Books[[#This Row],[NameHelper]]), TalentBooksImg[Name], 0)), "")</f>
        <v>#VALUE!</v>
      </c>
      <c r="F8" s="36">
        <f>SUMIF(TalentBook[Book],Talent_Books[[#This Row],[4* Book]],TalentBook[4* Book])</f>
        <v>510</v>
      </c>
      <c r="G8" s="165" t="e" vm="768">
        <f>IFERROR(INDEX(TalentBooksImg[Icon], MATCH(_xlfn.CONCAT("guideto",Talent_Books[[#This Row],[NameHelper]]), TalentBooksImg[Name], 0)), "")</f>
        <v>#VALUE!</v>
      </c>
      <c r="H8" s="175">
        <f>SUMIF(TalentBook[Book],Talent_Books[[#This Row],[4* Book]],TalentBook[3* Book])</f>
        <v>231</v>
      </c>
      <c r="I8" s="36" t="e" vm="770">
        <f>IFERROR(INDEX(TalentBooksImg[Icon], MATCH(_xlfn.CONCAT("teachingsof",Talent_Books[[#This Row],[NameHelper]]), TalentBooksImg[Name], 0)), "")</f>
        <v>#VALUE!</v>
      </c>
      <c r="J8" s="158">
        <f>SUMIF(TalentBook[Book],Talent_Books[[#This Row],[4* Book]],TalentBook[2* Book])</f>
        <v>33</v>
      </c>
      <c r="K8" s="153" t="e" vm="151">
        <f>IFERROR(INDEX(TalentBooksImg[Icon], MATCH(_xlfn.CONCAT("philosophiesof",Talent_Books[[#This Row],[NameHelper]]), TalentBooksImg[Name], 0)), "")</f>
        <v>#VALUE!</v>
      </c>
      <c r="L8" s="36">
        <f>IFERROR(INDEX(TalentBooksInv[Quantity], MATCH(Talent_Books[[#This Row],[4* Book2]], TalentBooksInv[Icon], 0)), "")</f>
        <v>11</v>
      </c>
      <c r="M8" s="165" t="e" vm="768">
        <f>IFERROR(INDEX(TalentBooksImg[Icon], MATCH(_xlfn.CONCAT("guideto",Talent_Books[[#This Row],[NameHelper]]), TalentBooksImg[Name], 0)), "")</f>
        <v>#VALUE!</v>
      </c>
      <c r="N8" s="175">
        <f>IFERROR(INDEX(TalentBooksInv[Quantity], MATCH(Talent_Books[[#This Row],[3* Book2]], TalentBooksInv[Icon], 0)), "")</f>
        <v>134</v>
      </c>
      <c r="O8" s="36" t="e" vm="770">
        <f>IFERROR(INDEX(TalentBooksImg[Icon], MATCH(_xlfn.CONCAT("teachingsof",Talent_Books[[#This Row],[NameHelper]]), TalentBooksImg[Name], 0)), "")</f>
        <v>#VALUE!</v>
      </c>
      <c r="P8" s="158">
        <f>IFERROR(INDEX(TalentBooksInv[Quantity], MATCH(Talent_Books[[#This Row],[2* Book2]], TalentBooksInv[Icon], 0)), "")</f>
        <v>177</v>
      </c>
      <c r="Q8" s="153" t="e" vm="151">
        <f>IFERROR(INDEX(TalentBooksImg[Icon], MATCH(_xlfn.CONCAT("philosophiesof",Talent_Books[[#This Row],[NameHelper]]), TalentBooksImg[Name], 0)), "")</f>
        <v>#VALUE!</v>
      </c>
      <c r="R8" s="36">
        <f>Talent_Books[[#This Row],[4* Need]]-Talent_Books[[#This Row],[4* Need2]]</f>
        <v>499</v>
      </c>
      <c r="S8" s="165" t="e" vm="768">
        <f>IFERROR(INDEX(TalentBooksImg[Icon], MATCH(_xlfn.CONCAT("guideto",Talent_Books[[#This Row],[NameHelper]]), TalentBooksImg[Name], 0)), "")</f>
        <v>#VALUE!</v>
      </c>
      <c r="T8" s="175">
        <f>Talent_Books[[#This Row],[3* Need]]-Talent_Books[[#This Row],[3* Need2]]</f>
        <v>97</v>
      </c>
      <c r="U8" s="36" t="e" vm="770">
        <f>IFERROR(INDEX(TalentBooksImg[Icon], MATCH(_xlfn.CONCAT("teachingsof",Talent_Books[[#This Row],[NameHelper]]), TalentBooksImg[Name], 0)), "")</f>
        <v>#VALUE!</v>
      </c>
      <c r="V8" s="158">
        <f>Talent_Books[[#This Row],[2* Need]]-Talent_Books[[#This Row],[2* Need2]]</f>
        <v>-144</v>
      </c>
    </row>
    <row r="9" spans="1:22" ht="30" customHeight="1" x14ac:dyDescent="0.25">
      <c r="A9" s="153">
        <f>SUBTOTAL(3,$B$4:Talent_Books[[#This Row],[Book Region]])</f>
        <v>6</v>
      </c>
      <c r="B9" s="36" t="s">
        <v>715</v>
      </c>
      <c r="C9" s="173" t="s">
        <v>831</v>
      </c>
      <c r="D9" s="174">
        <v>1.01</v>
      </c>
      <c r="E9" s="153" t="e" vm="338">
        <f>IFERROR(INDEX(TalentBooksImg[Icon], MATCH(_xlfn.CONCAT("philosophiesof",Talent_Books[[#This Row],[NameHelper]]), TalentBooksImg[Name], 0)), "")</f>
        <v>#VALUE!</v>
      </c>
      <c r="F9" s="36">
        <f>SUMIF(TalentBook[Book],Talent_Books[[#This Row],[4* Book]],TalentBook[4* Book])</f>
        <v>634</v>
      </c>
      <c r="G9" s="165" t="e" vm="773">
        <f>IFERROR(INDEX(TalentBooksImg[Icon], MATCH(_xlfn.CONCAT("guideto",Talent_Books[[#This Row],[NameHelper]]), TalentBooksImg[Name], 0)), "")</f>
        <v>#VALUE!</v>
      </c>
      <c r="H9" s="175">
        <f>SUMIF(TalentBook[Book],Talent_Books[[#This Row],[4* Book]],TalentBook[3* Book])</f>
        <v>297</v>
      </c>
      <c r="I9" s="36" t="e" vm="774">
        <f>IFERROR(INDEX(TalentBooksImg[Icon], MATCH(_xlfn.CONCAT("teachingsof",Talent_Books[[#This Row],[NameHelper]]), TalentBooksImg[Name], 0)), "")</f>
        <v>#VALUE!</v>
      </c>
      <c r="J9" s="158">
        <f>SUMIF(TalentBook[Book],Talent_Books[[#This Row],[4* Book]],TalentBook[2* Book])</f>
        <v>36</v>
      </c>
      <c r="K9" s="153" t="e" vm="338">
        <f>IFERROR(INDEX(TalentBooksImg[Icon], MATCH(_xlfn.CONCAT("philosophiesof",Talent_Books[[#This Row],[NameHelper]]), TalentBooksImg[Name], 0)), "")</f>
        <v>#VALUE!</v>
      </c>
      <c r="L9" s="36">
        <f>IFERROR(INDEX(TalentBooksInv[Quantity], MATCH(Talent_Books[[#This Row],[4* Book2]], TalentBooksInv[Icon], 0)), "")</f>
        <v>11</v>
      </c>
      <c r="M9" s="165" t="e" vm="773">
        <f>IFERROR(INDEX(TalentBooksImg[Icon], MATCH(_xlfn.CONCAT("guideto",Talent_Books[[#This Row],[NameHelper]]), TalentBooksImg[Name], 0)), "")</f>
        <v>#VALUE!</v>
      </c>
      <c r="N9" s="175">
        <f>IFERROR(INDEX(TalentBooksInv[Quantity], MATCH(Talent_Books[[#This Row],[3* Book2]], TalentBooksInv[Icon], 0)), "")</f>
        <v>91</v>
      </c>
      <c r="O9" s="36" t="e" vm="774">
        <f>IFERROR(INDEX(TalentBooksImg[Icon], MATCH(_xlfn.CONCAT("teachingsof",Talent_Books[[#This Row],[NameHelper]]), TalentBooksImg[Name], 0)), "")</f>
        <v>#VALUE!</v>
      </c>
      <c r="P9" s="158">
        <f>IFERROR(INDEX(TalentBooksInv[Quantity], MATCH(Talent_Books[[#This Row],[2* Book2]], TalentBooksInv[Icon], 0)), "")</f>
        <v>205</v>
      </c>
      <c r="Q9" s="153" t="e" vm="338">
        <f>IFERROR(INDEX(TalentBooksImg[Icon], MATCH(_xlfn.CONCAT("philosophiesof",Talent_Books[[#This Row],[NameHelper]]), TalentBooksImg[Name], 0)), "")</f>
        <v>#VALUE!</v>
      </c>
      <c r="R9" s="36">
        <f>Talent_Books[[#This Row],[4* Need]]-Talent_Books[[#This Row],[4* Need2]]</f>
        <v>623</v>
      </c>
      <c r="S9" s="165" t="e" vm="773">
        <f>IFERROR(INDEX(TalentBooksImg[Icon], MATCH(_xlfn.CONCAT("guideto",Talent_Books[[#This Row],[NameHelper]]), TalentBooksImg[Name], 0)), "")</f>
        <v>#VALUE!</v>
      </c>
      <c r="T9" s="175">
        <f>Talent_Books[[#This Row],[3* Need]]-Talent_Books[[#This Row],[3* Need2]]</f>
        <v>206</v>
      </c>
      <c r="U9" s="36" t="e" vm="774">
        <f>IFERROR(INDEX(TalentBooksImg[Icon], MATCH(_xlfn.CONCAT("teachingsof",Talent_Books[[#This Row],[NameHelper]]), TalentBooksImg[Name], 0)), "")</f>
        <v>#VALUE!</v>
      </c>
      <c r="V9" s="158">
        <f>Talent_Books[[#This Row],[2* Need]]-Talent_Books[[#This Row],[2* Need2]]</f>
        <v>-169</v>
      </c>
    </row>
    <row r="10" spans="1:22" ht="30" customHeight="1" x14ac:dyDescent="0.25">
      <c r="A10" s="153">
        <f>SUBTOTAL(3,$B$4:Talent_Books[[#This Row],[Book Region]])</f>
        <v>7</v>
      </c>
      <c r="B10" s="36" t="s">
        <v>716</v>
      </c>
      <c r="C10" s="173" t="s">
        <v>832</v>
      </c>
      <c r="D10" s="174">
        <v>2</v>
      </c>
      <c r="E10" s="153" t="e" vm="226">
        <f>IFERROR(INDEX(TalentBooksImg[Icon], MATCH(_xlfn.CONCAT("philosophiesof",Talent_Books[[#This Row],[NameHelper]]), TalentBooksImg[Name], 0)), "")</f>
        <v>#VALUE!</v>
      </c>
      <c r="F10" s="36">
        <f>SUMIF(TalentBook[Book],Talent_Books[[#This Row],[4* Book]],TalentBook[4* Book])</f>
        <v>482</v>
      </c>
      <c r="G10" s="165" t="e" vm="777">
        <f>IFERROR(INDEX(TalentBooksImg[Icon], MATCH(_xlfn.CONCAT("guideto",Talent_Books[[#This Row],[NameHelper]]), TalentBooksImg[Name], 0)), "")</f>
        <v>#VALUE!</v>
      </c>
      <c r="H10" s="175">
        <f>SUMIF(TalentBook[Book],Talent_Books[[#This Row],[4* Book]],TalentBook[3* Book])</f>
        <v>231</v>
      </c>
      <c r="I10" s="36" t="e" vm="779">
        <f>IFERROR(INDEX(TalentBooksImg[Icon], MATCH(_xlfn.CONCAT("teachingsof",Talent_Books[[#This Row],[NameHelper]]), TalentBooksImg[Name], 0)), "")</f>
        <v>#VALUE!</v>
      </c>
      <c r="J10" s="158">
        <f>SUMIF(TalentBook[Book],Talent_Books[[#This Row],[4* Book]],TalentBook[2* Book])</f>
        <v>33</v>
      </c>
      <c r="K10" s="153" t="e" vm="226">
        <f>IFERROR(INDEX(TalentBooksImg[Icon], MATCH(_xlfn.CONCAT("philosophiesof",Talent_Books[[#This Row],[NameHelper]]), TalentBooksImg[Name], 0)), "")</f>
        <v>#VALUE!</v>
      </c>
      <c r="L10" s="36">
        <f>IFERROR(INDEX(TalentBooksInv[Quantity], MATCH(Talent_Books[[#This Row],[4* Book2]], TalentBooksInv[Icon], 0)), "")</f>
        <v>6</v>
      </c>
      <c r="M10" s="165" t="e" vm="777">
        <f>IFERROR(INDEX(TalentBooksImg[Icon], MATCH(_xlfn.CONCAT("guideto",Talent_Books[[#This Row],[NameHelper]]), TalentBooksImg[Name], 0)), "")</f>
        <v>#VALUE!</v>
      </c>
      <c r="N10" s="175">
        <f>IFERROR(INDEX(TalentBooksInv[Quantity], MATCH(Talent_Books[[#This Row],[3* Book2]], TalentBooksInv[Icon], 0)), "")</f>
        <v>27</v>
      </c>
      <c r="O10" s="36" t="e" vm="779">
        <f>IFERROR(INDEX(TalentBooksImg[Icon], MATCH(_xlfn.CONCAT("teachingsof",Talent_Books[[#This Row],[NameHelper]]), TalentBooksImg[Name], 0)), "")</f>
        <v>#VALUE!</v>
      </c>
      <c r="P10" s="158">
        <f>IFERROR(INDEX(TalentBooksInv[Quantity], MATCH(Talent_Books[[#This Row],[2* Book2]], TalentBooksInv[Icon], 0)), "")</f>
        <v>63</v>
      </c>
      <c r="Q10" s="153" t="e" vm="226">
        <f>IFERROR(INDEX(TalentBooksImg[Icon], MATCH(_xlfn.CONCAT("philosophiesof",Talent_Books[[#This Row],[NameHelper]]), TalentBooksImg[Name], 0)), "")</f>
        <v>#VALUE!</v>
      </c>
      <c r="R10" s="36">
        <f>Talent_Books[[#This Row],[4* Need]]-Talent_Books[[#This Row],[4* Need2]]</f>
        <v>476</v>
      </c>
      <c r="S10" s="165" t="e" vm="777">
        <f>IFERROR(INDEX(TalentBooksImg[Icon], MATCH(_xlfn.CONCAT("guideto",Talent_Books[[#This Row],[NameHelper]]), TalentBooksImg[Name], 0)), "")</f>
        <v>#VALUE!</v>
      </c>
      <c r="T10" s="175">
        <f>Talent_Books[[#This Row],[3* Need]]-Talent_Books[[#This Row],[3* Need2]]</f>
        <v>204</v>
      </c>
      <c r="U10" s="36" t="e" vm="779">
        <f>IFERROR(INDEX(TalentBooksImg[Icon], MATCH(_xlfn.CONCAT("teachingsof",Talent_Books[[#This Row],[NameHelper]]), TalentBooksImg[Name], 0)), "")</f>
        <v>#VALUE!</v>
      </c>
      <c r="V10" s="158">
        <f>Talent_Books[[#This Row],[2* Need]]-Talent_Books[[#This Row],[2* Need2]]</f>
        <v>-30</v>
      </c>
    </row>
    <row r="11" spans="1:22" ht="30" customHeight="1" x14ac:dyDescent="0.25">
      <c r="A11" s="153">
        <f>SUBTOTAL(3,$B$4:Talent_Books[[#This Row],[Book Region]])</f>
        <v>8</v>
      </c>
      <c r="B11" s="36" t="s">
        <v>716</v>
      </c>
      <c r="C11" s="173" t="s">
        <v>833</v>
      </c>
      <c r="D11" s="174">
        <v>2</v>
      </c>
      <c r="E11" s="153" t="e" vm="183">
        <f>IFERROR(INDEX(TalentBooksImg[Icon], MATCH(_xlfn.CONCAT("philosophiesof",Talent_Books[[#This Row],[NameHelper]]), TalentBooksImg[Name], 0)), "")</f>
        <v>#VALUE!</v>
      </c>
      <c r="F11" s="36">
        <f>SUMIF(TalentBook[Book],Talent_Books[[#This Row],[4* Book]],TalentBook[4* Book])</f>
        <v>206</v>
      </c>
      <c r="G11" s="165" t="e" vm="781">
        <f>IFERROR(INDEX(TalentBooksImg[Icon], MATCH(_xlfn.CONCAT("guideto",Talent_Books[[#This Row],[NameHelper]]), TalentBooksImg[Name], 0)), "")</f>
        <v>#VALUE!</v>
      </c>
      <c r="H11" s="175">
        <f>SUMIF(TalentBook[Book],Talent_Books[[#This Row],[4* Book]],TalentBook[3* Book])</f>
        <v>84</v>
      </c>
      <c r="I11" s="36" t="e" vm="783">
        <f>IFERROR(INDEX(TalentBooksImg[Icon], MATCH(_xlfn.CONCAT("teachingsof",Talent_Books[[#This Row],[NameHelper]]), TalentBooksImg[Name], 0)), "")</f>
        <v>#VALUE!</v>
      </c>
      <c r="J11" s="158">
        <f>SUMIF(TalentBook[Book],Talent_Books[[#This Row],[4* Book]],TalentBook[2* Book])</f>
        <v>12</v>
      </c>
      <c r="K11" s="153" t="e" vm="183">
        <f>IFERROR(INDEX(TalentBooksImg[Icon], MATCH(_xlfn.CONCAT("philosophiesof",Talent_Books[[#This Row],[NameHelper]]), TalentBooksImg[Name], 0)), "")</f>
        <v>#VALUE!</v>
      </c>
      <c r="L11" s="36">
        <f>IFERROR(INDEX(TalentBooksInv[Quantity], MATCH(Talent_Books[[#This Row],[4* Book2]], TalentBooksInv[Icon], 0)), "")</f>
        <v>6</v>
      </c>
      <c r="M11" s="165" t="e" vm="781">
        <f>IFERROR(INDEX(TalentBooksImg[Icon], MATCH(_xlfn.CONCAT("guideto",Talent_Books[[#This Row],[NameHelper]]), TalentBooksImg[Name], 0)), "")</f>
        <v>#VALUE!</v>
      </c>
      <c r="N11" s="175">
        <f>IFERROR(INDEX(TalentBooksInv[Quantity], MATCH(Talent_Books[[#This Row],[3* Book2]], TalentBooksInv[Icon], 0)), "")</f>
        <v>57</v>
      </c>
      <c r="O11" s="36" t="e" vm="783">
        <f>IFERROR(INDEX(TalentBooksImg[Icon], MATCH(_xlfn.CONCAT("teachingsof",Talent_Books[[#This Row],[NameHelper]]), TalentBooksImg[Name], 0)), "")</f>
        <v>#VALUE!</v>
      </c>
      <c r="P11" s="158">
        <f>IFERROR(INDEX(TalentBooksInv[Quantity], MATCH(Talent_Books[[#This Row],[2* Book2]], TalentBooksInv[Icon], 0)), "")</f>
        <v>49</v>
      </c>
      <c r="Q11" s="153" t="e" vm="183">
        <f>IFERROR(INDEX(TalentBooksImg[Icon], MATCH(_xlfn.CONCAT("philosophiesof",Talent_Books[[#This Row],[NameHelper]]), TalentBooksImg[Name], 0)), "")</f>
        <v>#VALUE!</v>
      </c>
      <c r="R11" s="36">
        <f>Talent_Books[[#This Row],[4* Need]]-Talent_Books[[#This Row],[4* Need2]]</f>
        <v>200</v>
      </c>
      <c r="S11" s="165" t="e" vm="781">
        <f>IFERROR(INDEX(TalentBooksImg[Icon], MATCH(_xlfn.CONCAT("guideto",Talent_Books[[#This Row],[NameHelper]]), TalentBooksImg[Name], 0)), "")</f>
        <v>#VALUE!</v>
      </c>
      <c r="T11" s="175">
        <f>Talent_Books[[#This Row],[3* Need]]-Talent_Books[[#This Row],[3* Need2]]</f>
        <v>27</v>
      </c>
      <c r="U11" s="36" t="e" vm="783">
        <f>IFERROR(INDEX(TalentBooksImg[Icon], MATCH(_xlfn.CONCAT("teachingsof",Talent_Books[[#This Row],[NameHelper]]), TalentBooksImg[Name], 0)), "")</f>
        <v>#VALUE!</v>
      </c>
      <c r="V11" s="158">
        <f>Talent_Books[[#This Row],[2* Need]]-Talent_Books[[#This Row],[2* Need2]]</f>
        <v>-37</v>
      </c>
    </row>
    <row r="12" spans="1:22" ht="30" customHeight="1" x14ac:dyDescent="0.25">
      <c r="A12" s="153">
        <f>SUBTOTAL(3,$B$4:Talent_Books[[#This Row],[Book Region]])</f>
        <v>9</v>
      </c>
      <c r="B12" s="36" t="s">
        <v>716</v>
      </c>
      <c r="C12" s="173" t="s">
        <v>834</v>
      </c>
      <c r="D12" s="174">
        <v>2</v>
      </c>
      <c r="E12" s="153" t="e" vm="74">
        <f>IFERROR(INDEX(TalentBooksImg[Icon], MATCH(_xlfn.CONCAT("philosophiesof",Talent_Books[[#This Row],[NameHelper]]), TalentBooksImg[Name], 0)), "")</f>
        <v>#VALUE!</v>
      </c>
      <c r="F12" s="36">
        <f>SUMIF(TalentBook[Book],Talent_Books[[#This Row],[4* Book]],TalentBook[4* Book])</f>
        <v>282</v>
      </c>
      <c r="G12" s="165" t="e" vm="785">
        <f>IFERROR(INDEX(TalentBooksImg[Icon], MATCH(_xlfn.CONCAT("guideto",Talent_Books[[#This Row],[NameHelper]]), TalentBooksImg[Name], 0)), "")</f>
        <v>#VALUE!</v>
      </c>
      <c r="H12" s="175">
        <f>SUMIF(TalentBook[Book],Talent_Books[[#This Row],[4* Book]],TalentBook[3* Book])</f>
        <v>147</v>
      </c>
      <c r="I12" s="36" t="e" vm="787">
        <f>IFERROR(INDEX(TalentBooksImg[Icon], MATCH(_xlfn.CONCAT("teachingsof",Talent_Books[[#This Row],[NameHelper]]), TalentBooksImg[Name], 0)), "")</f>
        <v>#VALUE!</v>
      </c>
      <c r="J12" s="158">
        <f>SUMIF(TalentBook[Book],Talent_Books[[#This Row],[4* Book]],TalentBook[2* Book])</f>
        <v>21</v>
      </c>
      <c r="K12" s="153" t="e" vm="74">
        <f>IFERROR(INDEX(TalentBooksImg[Icon], MATCH(_xlfn.CONCAT("philosophiesof",Talent_Books[[#This Row],[NameHelper]]), TalentBooksImg[Name], 0)), "")</f>
        <v>#VALUE!</v>
      </c>
      <c r="L12" s="36">
        <f>IFERROR(INDEX(TalentBooksInv[Quantity], MATCH(Talent_Books[[#This Row],[4* Book2]], TalentBooksInv[Icon], 0)), "")</f>
        <v>11</v>
      </c>
      <c r="M12" s="165" t="e" vm="785">
        <f>IFERROR(INDEX(TalentBooksImg[Icon], MATCH(_xlfn.CONCAT("guideto",Talent_Books[[#This Row],[NameHelper]]), TalentBooksImg[Name], 0)), "")</f>
        <v>#VALUE!</v>
      </c>
      <c r="N12" s="175">
        <f>IFERROR(INDEX(TalentBooksInv[Quantity], MATCH(Talent_Books[[#This Row],[3* Book2]], TalentBooksInv[Icon], 0)), "")</f>
        <v>82</v>
      </c>
      <c r="O12" s="36" t="e" vm="787">
        <f>IFERROR(INDEX(TalentBooksImg[Icon], MATCH(_xlfn.CONCAT("teachingsof",Talent_Books[[#This Row],[NameHelper]]), TalentBooksImg[Name], 0)), "")</f>
        <v>#VALUE!</v>
      </c>
      <c r="P12" s="158">
        <f>IFERROR(INDEX(TalentBooksInv[Quantity], MATCH(Talent_Books[[#This Row],[2* Book2]], TalentBooksInv[Icon], 0)), "")</f>
        <v>25</v>
      </c>
      <c r="Q12" s="153" t="e" vm="74">
        <f>IFERROR(INDEX(TalentBooksImg[Icon], MATCH(_xlfn.CONCAT("philosophiesof",Talent_Books[[#This Row],[NameHelper]]), TalentBooksImg[Name], 0)), "")</f>
        <v>#VALUE!</v>
      </c>
      <c r="R12" s="36">
        <f>Talent_Books[[#This Row],[4* Need]]-Talent_Books[[#This Row],[4* Need2]]</f>
        <v>271</v>
      </c>
      <c r="S12" s="165" t="e" vm="785">
        <f>IFERROR(INDEX(TalentBooksImg[Icon], MATCH(_xlfn.CONCAT("guideto",Talent_Books[[#This Row],[NameHelper]]), TalentBooksImg[Name], 0)), "")</f>
        <v>#VALUE!</v>
      </c>
      <c r="T12" s="175">
        <f>Talent_Books[[#This Row],[3* Need]]-Talent_Books[[#This Row],[3* Need2]]</f>
        <v>65</v>
      </c>
      <c r="U12" s="36" t="e" vm="787">
        <f>IFERROR(INDEX(TalentBooksImg[Icon], MATCH(_xlfn.CONCAT("teachingsof",Talent_Books[[#This Row],[NameHelper]]), TalentBooksImg[Name], 0)), "")</f>
        <v>#VALUE!</v>
      </c>
      <c r="V12" s="158">
        <f>Talent_Books[[#This Row],[2* Need]]-Talent_Books[[#This Row],[2* Need2]]</f>
        <v>-4</v>
      </c>
    </row>
    <row r="13" spans="1:22" ht="30" customHeight="1" x14ac:dyDescent="0.25">
      <c r="A13" s="153">
        <f>SUBTOTAL(3,$B$4:Talent_Books[[#This Row],[Book Region]])</f>
        <v>10</v>
      </c>
      <c r="B13" s="36" t="s">
        <v>717</v>
      </c>
      <c r="C13" s="173" t="s">
        <v>835</v>
      </c>
      <c r="D13" s="174">
        <v>3</v>
      </c>
      <c r="E13" s="153" t="e" vm="391">
        <f>IFERROR(INDEX(TalentBooksImg[Icon], MATCH(_xlfn.CONCAT("philosophiesof",Talent_Books[[#This Row],[NameHelper]]), TalentBooksImg[Name], 0)), "")</f>
        <v>#VALUE!</v>
      </c>
      <c r="F13" s="36">
        <f>SUMIF(TalentBook[Book],Talent_Books[[#This Row],[4* Book]],TalentBook[4* Book])</f>
        <v>282</v>
      </c>
      <c r="G13" s="165" t="e" vm="791">
        <f>IFERROR(INDEX(TalentBooksImg[Icon], MATCH(_xlfn.CONCAT("guideto",Talent_Books[[#This Row],[NameHelper]]), TalentBooksImg[Name], 0)), "")</f>
        <v>#VALUE!</v>
      </c>
      <c r="H13" s="175">
        <f>SUMIF(TalentBook[Book],Talent_Books[[#This Row],[4* Book]],TalentBook[3* Book])</f>
        <v>141</v>
      </c>
      <c r="I13" s="36" t="e" vm="793">
        <f>IFERROR(INDEX(TalentBooksImg[Icon], MATCH(_xlfn.CONCAT("teachingsof",Talent_Books[[#This Row],[NameHelper]]), TalentBooksImg[Name], 0)), "")</f>
        <v>#VALUE!</v>
      </c>
      <c r="J13" s="158">
        <f>SUMIF(TalentBook[Book],Talent_Books[[#This Row],[4* Book]],TalentBook[2* Book])</f>
        <v>18</v>
      </c>
      <c r="K13" s="153" t="e" vm="391">
        <f>IFERROR(INDEX(TalentBooksImg[Icon], MATCH(_xlfn.CONCAT("philosophiesof",Talent_Books[[#This Row],[NameHelper]]), TalentBooksImg[Name], 0)), "")</f>
        <v>#VALUE!</v>
      </c>
      <c r="L13" s="36">
        <f>IFERROR(INDEX(TalentBooksInv[Quantity], MATCH(Talent_Books[[#This Row],[4* Book2]], TalentBooksInv[Icon], 0)), "")</f>
        <v>7</v>
      </c>
      <c r="M13" s="165" t="e" vm="791">
        <f>IFERROR(INDEX(TalentBooksImg[Icon], MATCH(_xlfn.CONCAT("guideto",Talent_Books[[#This Row],[NameHelper]]), TalentBooksImg[Name], 0)), "")</f>
        <v>#VALUE!</v>
      </c>
      <c r="N13" s="175">
        <f>IFERROR(INDEX(TalentBooksInv[Quantity], MATCH(Talent_Books[[#This Row],[3* Book2]], TalentBooksInv[Icon], 0)), "")</f>
        <v>115</v>
      </c>
      <c r="O13" s="36" t="e" vm="793">
        <f>IFERROR(INDEX(TalentBooksImg[Icon], MATCH(_xlfn.CONCAT("teachingsof",Talent_Books[[#This Row],[NameHelper]]), TalentBooksImg[Name], 0)), "")</f>
        <v>#VALUE!</v>
      </c>
      <c r="P13" s="158">
        <f>IFERROR(INDEX(TalentBooksInv[Quantity], MATCH(Talent_Books[[#This Row],[2* Book2]], TalentBooksInv[Icon], 0)), "")</f>
        <v>115</v>
      </c>
      <c r="Q13" s="153" t="e" vm="391">
        <f>IFERROR(INDEX(TalentBooksImg[Icon], MATCH(_xlfn.CONCAT("philosophiesof",Talent_Books[[#This Row],[NameHelper]]), TalentBooksImg[Name], 0)), "")</f>
        <v>#VALUE!</v>
      </c>
      <c r="R13" s="36">
        <f>Talent_Books[[#This Row],[4* Need]]-Talent_Books[[#This Row],[4* Need2]]</f>
        <v>275</v>
      </c>
      <c r="S13" s="165" t="e" vm="791">
        <f>IFERROR(INDEX(TalentBooksImg[Icon], MATCH(_xlfn.CONCAT("guideto",Talent_Books[[#This Row],[NameHelper]]), TalentBooksImg[Name], 0)), "")</f>
        <v>#VALUE!</v>
      </c>
      <c r="T13" s="175">
        <f>Talent_Books[[#This Row],[3* Need]]-Talent_Books[[#This Row],[3* Need2]]</f>
        <v>26</v>
      </c>
      <c r="U13" s="36" t="e" vm="793">
        <f>IFERROR(INDEX(TalentBooksImg[Icon], MATCH(_xlfn.CONCAT("teachingsof",Talent_Books[[#This Row],[NameHelper]]), TalentBooksImg[Name], 0)), "")</f>
        <v>#VALUE!</v>
      </c>
      <c r="V13" s="158">
        <f>Talent_Books[[#This Row],[2* Need]]-Talent_Books[[#This Row],[2* Need2]]</f>
        <v>-97</v>
      </c>
    </row>
    <row r="14" spans="1:22" ht="30" customHeight="1" x14ac:dyDescent="0.25">
      <c r="A14" s="153">
        <f>SUBTOTAL(3,$B$4:Talent_Books[[#This Row],[Book Region]])</f>
        <v>11</v>
      </c>
      <c r="B14" s="36" t="s">
        <v>717</v>
      </c>
      <c r="C14" s="173" t="s">
        <v>836</v>
      </c>
      <c r="D14" s="174">
        <v>3</v>
      </c>
      <c r="E14" s="153" t="e" vm="31">
        <f>IFERROR(INDEX(TalentBooksImg[Icon], MATCH(_xlfn.CONCAT("philosophiesof",Talent_Books[[#This Row],[NameHelper]]), TalentBooksImg[Name], 0)), "")</f>
        <v>#VALUE!</v>
      </c>
      <c r="F14" s="36">
        <f>SUMIF(TalentBook[Book],Talent_Books[[#This Row],[4* Book]],TalentBook[4* Book])</f>
        <v>468</v>
      </c>
      <c r="G14" s="165" t="e" vm="796">
        <f>IFERROR(INDEX(TalentBooksImg[Icon], MATCH(_xlfn.CONCAT("guideto",Talent_Books[[#This Row],[NameHelper]]), TalentBooksImg[Name], 0)), "")</f>
        <v>#VALUE!</v>
      </c>
      <c r="H14" s="175">
        <f>SUMIF(TalentBook[Book],Talent_Books[[#This Row],[4* Book]],TalentBook[3* Book])</f>
        <v>210</v>
      </c>
      <c r="I14" s="36" t="e" vm="798">
        <f>IFERROR(INDEX(TalentBooksImg[Icon], MATCH(_xlfn.CONCAT("teachingsof",Talent_Books[[#This Row],[NameHelper]]), TalentBooksImg[Name], 0)), "")</f>
        <v>#VALUE!</v>
      </c>
      <c r="J14" s="158">
        <f>SUMIF(TalentBook[Book],Talent_Books[[#This Row],[4* Book]],TalentBook[2* Book])</f>
        <v>30</v>
      </c>
      <c r="K14" s="153" t="e" vm="31">
        <f>IFERROR(INDEX(TalentBooksImg[Icon], MATCH(_xlfn.CONCAT("philosophiesof",Talent_Books[[#This Row],[NameHelper]]), TalentBooksImg[Name], 0)), "")</f>
        <v>#VALUE!</v>
      </c>
      <c r="L14" s="36">
        <f>IFERROR(INDEX(TalentBooksInv[Quantity], MATCH(Talent_Books[[#This Row],[4* Book2]], TalentBooksInv[Icon], 0)), "")</f>
        <v>3</v>
      </c>
      <c r="M14" s="165" t="e" vm="796">
        <f>IFERROR(INDEX(TalentBooksImg[Icon], MATCH(_xlfn.CONCAT("guideto",Talent_Books[[#This Row],[NameHelper]]), TalentBooksImg[Name], 0)), "")</f>
        <v>#VALUE!</v>
      </c>
      <c r="N14" s="175">
        <f>IFERROR(INDEX(TalentBooksInv[Quantity], MATCH(Talent_Books[[#This Row],[3* Book2]], TalentBooksInv[Icon], 0)), "")</f>
        <v>31</v>
      </c>
      <c r="O14" s="36" t="e" vm="798">
        <f>IFERROR(INDEX(TalentBooksImg[Icon], MATCH(_xlfn.CONCAT("teachingsof",Talent_Books[[#This Row],[NameHelper]]), TalentBooksImg[Name], 0)), "")</f>
        <v>#VALUE!</v>
      </c>
      <c r="P14" s="158">
        <f>IFERROR(INDEX(TalentBooksInv[Quantity], MATCH(Talent_Books[[#This Row],[2* Book2]], TalentBooksInv[Icon], 0)), "")</f>
        <v>91</v>
      </c>
      <c r="Q14" s="153" t="e" vm="31">
        <f>IFERROR(INDEX(TalentBooksImg[Icon], MATCH(_xlfn.CONCAT("philosophiesof",Talent_Books[[#This Row],[NameHelper]]), TalentBooksImg[Name], 0)), "")</f>
        <v>#VALUE!</v>
      </c>
      <c r="R14" s="36">
        <f>Talent_Books[[#This Row],[4* Need]]-Talent_Books[[#This Row],[4* Need2]]</f>
        <v>465</v>
      </c>
      <c r="S14" s="165" t="e" vm="796">
        <f>IFERROR(INDEX(TalentBooksImg[Icon], MATCH(_xlfn.CONCAT("guideto",Talent_Books[[#This Row],[NameHelper]]), TalentBooksImg[Name], 0)), "")</f>
        <v>#VALUE!</v>
      </c>
      <c r="T14" s="175">
        <f>Talent_Books[[#This Row],[3* Need]]-Talent_Books[[#This Row],[3* Need2]]</f>
        <v>179</v>
      </c>
      <c r="U14" s="36" t="e" vm="798">
        <f>IFERROR(INDEX(TalentBooksImg[Icon], MATCH(_xlfn.CONCAT("teachingsof",Talent_Books[[#This Row],[NameHelper]]), TalentBooksImg[Name], 0)), "")</f>
        <v>#VALUE!</v>
      </c>
      <c r="V14" s="158">
        <f>Talent_Books[[#This Row],[2* Need]]-Talent_Books[[#This Row],[2* Need2]]</f>
        <v>-61</v>
      </c>
    </row>
    <row r="15" spans="1:22" ht="30" customHeight="1" x14ac:dyDescent="0.25">
      <c r="A15" s="153">
        <f>SUBTOTAL(3,$B$4:Talent_Books[[#This Row],[Book Region]])</f>
        <v>12</v>
      </c>
      <c r="B15" s="36" t="s">
        <v>717</v>
      </c>
      <c r="C15" s="173" t="s">
        <v>37</v>
      </c>
      <c r="D15" s="174">
        <v>3</v>
      </c>
      <c r="E15" s="153" t="e" vm="271">
        <f>IFERROR(INDEX(TalentBooksImg[Icon], MATCH(_xlfn.CONCAT("philosophiesof",Talent_Books[[#This Row],[NameHelper]]), TalentBooksImg[Name], 0)), "")</f>
        <v>#VALUE!</v>
      </c>
      <c r="F15" s="36">
        <f>SUMIF(TalentBook[Book],Talent_Books[[#This Row],[4* Book]],TalentBook[4* Book])</f>
        <v>114</v>
      </c>
      <c r="G15" s="165" t="e" vm="799">
        <f>IFERROR(INDEX(TalentBooksImg[Icon], MATCH(_xlfn.CONCAT("guideto",Talent_Books[[#This Row],[NameHelper]]), TalentBooksImg[Name], 0)), "")</f>
        <v>#VALUE!</v>
      </c>
      <c r="H15" s="175">
        <f>SUMIF(TalentBook[Book],Talent_Books[[#This Row],[4* Book]],TalentBook[3* Book])</f>
        <v>63</v>
      </c>
      <c r="I15" s="36" t="e" vm="800">
        <f>IFERROR(INDEX(TalentBooksImg[Icon], MATCH(_xlfn.CONCAT("teachingsof",Talent_Books[[#This Row],[NameHelper]]), TalentBooksImg[Name], 0)), "")</f>
        <v>#VALUE!</v>
      </c>
      <c r="J15" s="158">
        <f>SUMIF(TalentBook[Book],Talent_Books[[#This Row],[4* Book]],TalentBook[2* Book])</f>
        <v>9</v>
      </c>
      <c r="K15" s="153" t="e" vm="271">
        <f>IFERROR(INDEX(TalentBooksImg[Icon], MATCH(_xlfn.CONCAT("philosophiesof",Talent_Books[[#This Row],[NameHelper]]), TalentBooksImg[Name], 0)), "")</f>
        <v>#VALUE!</v>
      </c>
      <c r="L15" s="36">
        <f>IFERROR(INDEX(TalentBooksInv[Quantity], MATCH(Talent_Books[[#This Row],[4* Book2]], TalentBooksInv[Icon], 0)), "")</f>
        <v>36</v>
      </c>
      <c r="M15" s="165" t="e" vm="799">
        <f>IFERROR(INDEX(TalentBooksImg[Icon], MATCH(_xlfn.CONCAT("guideto",Talent_Books[[#This Row],[NameHelper]]), TalentBooksImg[Name], 0)), "")</f>
        <v>#VALUE!</v>
      </c>
      <c r="N15" s="175">
        <f>IFERROR(INDEX(TalentBooksInv[Quantity], MATCH(Talent_Books[[#This Row],[3* Book2]], TalentBooksInv[Icon], 0)), "")</f>
        <v>31</v>
      </c>
      <c r="O15" s="36" t="e" vm="800">
        <f>IFERROR(INDEX(TalentBooksImg[Icon], MATCH(_xlfn.CONCAT("teachingsof",Talent_Books[[#This Row],[NameHelper]]), TalentBooksImg[Name], 0)), "")</f>
        <v>#VALUE!</v>
      </c>
      <c r="P15" s="158">
        <f>IFERROR(INDEX(TalentBooksInv[Quantity], MATCH(Talent_Books[[#This Row],[2* Book2]], TalentBooksInv[Icon], 0)), "")</f>
        <v>32</v>
      </c>
      <c r="Q15" s="153" t="e" vm="271">
        <f>IFERROR(INDEX(TalentBooksImg[Icon], MATCH(_xlfn.CONCAT("philosophiesof",Talent_Books[[#This Row],[NameHelper]]), TalentBooksImg[Name], 0)), "")</f>
        <v>#VALUE!</v>
      </c>
      <c r="R15" s="36">
        <f>Talent_Books[[#This Row],[4* Need]]-Talent_Books[[#This Row],[4* Need2]]</f>
        <v>78</v>
      </c>
      <c r="S15" s="165" t="e" vm="799">
        <f>IFERROR(INDEX(TalentBooksImg[Icon], MATCH(_xlfn.CONCAT("guideto",Talent_Books[[#This Row],[NameHelper]]), TalentBooksImg[Name], 0)), "")</f>
        <v>#VALUE!</v>
      </c>
      <c r="T15" s="175">
        <f>Talent_Books[[#This Row],[3* Need]]-Talent_Books[[#This Row],[3* Need2]]</f>
        <v>32</v>
      </c>
      <c r="U15" s="36" t="e" vm="800">
        <f>IFERROR(INDEX(TalentBooksImg[Icon], MATCH(_xlfn.CONCAT("teachingsof",Talent_Books[[#This Row],[NameHelper]]), TalentBooksImg[Name], 0)), "")</f>
        <v>#VALUE!</v>
      </c>
      <c r="V15" s="158">
        <f>Talent_Books[[#This Row],[2* Need]]-Talent_Books[[#This Row],[2* Need2]]</f>
        <v>-23</v>
      </c>
    </row>
    <row r="16" spans="1:22" ht="30" customHeight="1" x14ac:dyDescent="0.25">
      <c r="A16" s="153">
        <f>SUBTOTAL(3,$B$4:Talent_Books[[#This Row],[Book Region]])</f>
        <v>13</v>
      </c>
      <c r="B16" s="36" t="s">
        <v>718</v>
      </c>
      <c r="C16" s="173" t="s">
        <v>837</v>
      </c>
      <c r="D16" s="174">
        <v>4</v>
      </c>
      <c r="E16" s="153" t="e" vm="434">
        <f>IFERROR(INDEX(TalentBooksImg[Icon], MATCH(_xlfn.CONCAT("philosophiesof",Talent_Books[[#This Row],[NameHelper]]), TalentBooksImg[Name], 0)), "")</f>
        <v>#VALUE!</v>
      </c>
      <c r="F16" s="36">
        <f>SUMIF(TalentBook[Book],Talent_Books[[#This Row],[4* Book]],TalentBook[4* Book])</f>
        <v>0</v>
      </c>
      <c r="G16" s="165" t="e" vm="801">
        <f>IFERROR(INDEX(TalentBooksImg[Icon], MATCH(_xlfn.CONCAT("guideto",Talent_Books[[#This Row],[NameHelper]]), TalentBooksImg[Name], 0)), "")</f>
        <v>#VALUE!</v>
      </c>
      <c r="H16" s="175">
        <f>SUMIF(TalentBook[Book],Talent_Books[[#This Row],[4* Book]],TalentBook[3* Book])</f>
        <v>0</v>
      </c>
      <c r="I16" s="36" t="e" vm="802">
        <f>IFERROR(INDEX(TalentBooksImg[Icon], MATCH(_xlfn.CONCAT("teachingsof",Talent_Books[[#This Row],[NameHelper]]), TalentBooksImg[Name], 0)), "")</f>
        <v>#VALUE!</v>
      </c>
      <c r="J16" s="158">
        <f>SUMIF(TalentBook[Book],Talent_Books[[#This Row],[4* Book]],TalentBook[2* Book])</f>
        <v>0</v>
      </c>
      <c r="K16" s="153" t="e" vm="434">
        <f>IFERROR(INDEX(TalentBooksImg[Icon], MATCH(_xlfn.CONCAT("philosophiesof",Talent_Books[[#This Row],[NameHelper]]), TalentBooksImg[Name], 0)), "")</f>
        <v>#VALUE!</v>
      </c>
      <c r="L16" s="36">
        <f>IFERROR(INDEX(TalentBooksInv[Quantity], MATCH(Talent_Books[[#This Row],[4* Book2]], TalentBooksInv[Icon], 0)), "")</f>
        <v>15</v>
      </c>
      <c r="M16" s="165" t="e" vm="801">
        <f>IFERROR(INDEX(TalentBooksImg[Icon], MATCH(_xlfn.CONCAT("guideto",Talent_Books[[#This Row],[NameHelper]]), TalentBooksImg[Name], 0)), "")</f>
        <v>#VALUE!</v>
      </c>
      <c r="N16" s="175">
        <f>IFERROR(INDEX(TalentBooksInv[Quantity], MATCH(Talent_Books[[#This Row],[3* Book2]], TalentBooksInv[Icon], 0)), "")</f>
        <v>42</v>
      </c>
      <c r="O16" s="36" t="e" vm="802">
        <f>IFERROR(INDEX(TalentBooksImg[Icon], MATCH(_xlfn.CONCAT("teachingsof",Talent_Books[[#This Row],[NameHelper]]), TalentBooksImg[Name], 0)), "")</f>
        <v>#VALUE!</v>
      </c>
      <c r="P16" s="158">
        <f>IFERROR(INDEX(TalentBooksInv[Quantity], MATCH(Talent_Books[[#This Row],[2* Book2]], TalentBooksInv[Icon], 0)), "")</f>
        <v>45</v>
      </c>
      <c r="Q16" s="153" t="e" vm="434">
        <f>IFERROR(INDEX(TalentBooksImg[Icon], MATCH(_xlfn.CONCAT("philosophiesof",Talent_Books[[#This Row],[NameHelper]]), TalentBooksImg[Name], 0)), "")</f>
        <v>#VALUE!</v>
      </c>
      <c r="R16" s="36">
        <f>Talent_Books[[#This Row],[4* Need]]-Talent_Books[[#This Row],[4* Need2]]</f>
        <v>-15</v>
      </c>
      <c r="S16" s="165" t="e" vm="801">
        <f>IFERROR(INDEX(TalentBooksImg[Icon], MATCH(_xlfn.CONCAT("guideto",Talent_Books[[#This Row],[NameHelper]]), TalentBooksImg[Name], 0)), "")</f>
        <v>#VALUE!</v>
      </c>
      <c r="T16" s="175">
        <f>Talent_Books[[#This Row],[3* Need]]-Talent_Books[[#This Row],[3* Need2]]</f>
        <v>-42</v>
      </c>
      <c r="U16" s="36" t="e" vm="802">
        <f>IFERROR(INDEX(TalentBooksImg[Icon], MATCH(_xlfn.CONCAT("teachingsof",Talent_Books[[#This Row],[NameHelper]]), TalentBooksImg[Name], 0)), "")</f>
        <v>#VALUE!</v>
      </c>
      <c r="V16" s="158">
        <f>Talent_Books[[#This Row],[2* Need]]-Talent_Books[[#This Row],[2* Need2]]</f>
        <v>-45</v>
      </c>
    </row>
    <row r="17" spans="1:22" ht="30" customHeight="1" x14ac:dyDescent="0.25">
      <c r="A17" s="153">
        <f>SUBTOTAL(3,$B$4:Talent_Books[[#This Row],[Book Region]])</f>
        <v>14</v>
      </c>
      <c r="B17" s="36" t="s">
        <v>718</v>
      </c>
      <c r="C17" s="173" t="s">
        <v>838</v>
      </c>
      <c r="D17" s="174">
        <v>4</v>
      </c>
      <c r="E17" s="153" t="e" vm="94">
        <f>IFERROR(INDEX(TalentBooksImg[Icon], MATCH(_xlfn.CONCAT("philosophiesof",Talent_Books[[#This Row],[NameHelper]]), TalentBooksImg[Name], 0)), "")</f>
        <v>#VALUE!</v>
      </c>
      <c r="F17" s="36">
        <f>SUMIF(TalentBook[Book],Talent_Books[[#This Row],[4* Book]],TalentBook[4* Book])</f>
        <v>262</v>
      </c>
      <c r="G17" s="165" t="e" vm="803">
        <f>IFERROR(INDEX(TalentBooksImg[Icon], MATCH(_xlfn.CONCAT("guideto",Talent_Books[[#This Row],[NameHelper]]), TalentBooksImg[Name], 0)), "")</f>
        <v>#VALUE!</v>
      </c>
      <c r="H17" s="175">
        <f>SUMIF(TalentBook[Book],Talent_Books[[#This Row],[4* Book]],TalentBook[3* Book])</f>
        <v>105</v>
      </c>
      <c r="I17" s="36" t="e" vm="804">
        <f>IFERROR(INDEX(TalentBooksImg[Icon], MATCH(_xlfn.CONCAT("teachingsof",Talent_Books[[#This Row],[NameHelper]]), TalentBooksImg[Name], 0)), "")</f>
        <v>#VALUE!</v>
      </c>
      <c r="J17" s="158">
        <f>SUMIF(TalentBook[Book],Talent_Books[[#This Row],[4* Book]],TalentBook[2* Book])</f>
        <v>15</v>
      </c>
      <c r="K17" s="153" t="e" vm="94">
        <f>IFERROR(INDEX(TalentBooksImg[Icon], MATCH(_xlfn.CONCAT("philosophiesof",Talent_Books[[#This Row],[NameHelper]]), TalentBooksImg[Name], 0)), "")</f>
        <v>#VALUE!</v>
      </c>
      <c r="L17" s="36">
        <f>IFERROR(INDEX(TalentBooksInv[Quantity], MATCH(Talent_Books[[#This Row],[4* Book2]], TalentBooksInv[Icon], 0)), "")</f>
        <v>19</v>
      </c>
      <c r="M17" s="165" t="e" vm="803">
        <f>IFERROR(INDEX(TalentBooksImg[Icon], MATCH(_xlfn.CONCAT("guideto",Talent_Books[[#This Row],[NameHelper]]), TalentBooksImg[Name], 0)), "")</f>
        <v>#VALUE!</v>
      </c>
      <c r="N17" s="175">
        <f>IFERROR(INDEX(TalentBooksInv[Quantity], MATCH(Talent_Books[[#This Row],[3* Book2]], TalentBooksInv[Icon], 0)), "")</f>
        <v>112</v>
      </c>
      <c r="O17" s="36" t="e" vm="804">
        <f>IFERROR(INDEX(TalentBooksImg[Icon], MATCH(_xlfn.CONCAT("teachingsof",Talent_Books[[#This Row],[NameHelper]]), TalentBooksImg[Name], 0)), "")</f>
        <v>#VALUE!</v>
      </c>
      <c r="P17" s="158">
        <f>IFERROR(INDEX(TalentBooksInv[Quantity], MATCH(Talent_Books[[#This Row],[2* Book2]], TalentBooksInv[Icon], 0)), "")</f>
        <v>154</v>
      </c>
      <c r="Q17" s="153" t="e" vm="94">
        <f>IFERROR(INDEX(TalentBooksImg[Icon], MATCH(_xlfn.CONCAT("philosophiesof",Talent_Books[[#This Row],[NameHelper]]), TalentBooksImg[Name], 0)), "")</f>
        <v>#VALUE!</v>
      </c>
      <c r="R17" s="36">
        <f>Talent_Books[[#This Row],[4* Need]]-Talent_Books[[#This Row],[4* Need2]]</f>
        <v>243</v>
      </c>
      <c r="S17" s="165" t="e" vm="803">
        <f>IFERROR(INDEX(TalentBooksImg[Icon], MATCH(_xlfn.CONCAT("guideto",Talent_Books[[#This Row],[NameHelper]]), TalentBooksImg[Name], 0)), "")</f>
        <v>#VALUE!</v>
      </c>
      <c r="T17" s="175">
        <f>Talent_Books[[#This Row],[3* Need]]-Talent_Books[[#This Row],[3* Need2]]</f>
        <v>-7</v>
      </c>
      <c r="U17" s="36" t="e" vm="804">
        <f>IFERROR(INDEX(TalentBooksImg[Icon], MATCH(_xlfn.CONCAT("teachingsof",Talent_Books[[#This Row],[NameHelper]]), TalentBooksImg[Name], 0)), "")</f>
        <v>#VALUE!</v>
      </c>
      <c r="V17" s="158">
        <f>Talent_Books[[#This Row],[2* Need]]-Talent_Books[[#This Row],[2* Need2]]</f>
        <v>-139</v>
      </c>
    </row>
    <row r="18" spans="1:22" ht="30" customHeight="1" thickBot="1" x14ac:dyDescent="0.3">
      <c r="A18" s="159">
        <f>SUBTOTAL(3,$B$4:Talent_Books[[#This Row],[Book Region]])</f>
        <v>15</v>
      </c>
      <c r="B18" s="160" t="s">
        <v>718</v>
      </c>
      <c r="C18" s="176" t="s">
        <v>839</v>
      </c>
      <c r="D18" s="177">
        <v>4</v>
      </c>
      <c r="E18" s="153" t="e" vm="260">
        <f>IFERROR(INDEX(TalentBooksImg[Icon], MATCH(_xlfn.CONCAT("philosophiesof",Talent_Books[[#This Row],[NameHelper]]), TalentBooksImg[Name], 0)), "")</f>
        <v>#VALUE!</v>
      </c>
      <c r="F18" s="36">
        <f>SUMIF(TalentBook[Book],Talent_Books[[#This Row],[4* Book]],TalentBook[4* Book])</f>
        <v>142</v>
      </c>
      <c r="G18" s="165" t="e" vm="805">
        <f>IFERROR(INDEX(TalentBooksImg[Icon], MATCH(_xlfn.CONCAT("guideto",Talent_Books[[#This Row],[NameHelper]]), TalentBooksImg[Name], 0)), "")</f>
        <v>#VALUE!</v>
      </c>
      <c r="H18" s="175">
        <f>SUMIF(TalentBook[Book],Talent_Books[[#This Row],[4* Book]],TalentBook[3* Book])</f>
        <v>63</v>
      </c>
      <c r="I18" s="36" t="e" vm="806">
        <f>IFERROR(INDEX(TalentBooksImg[Icon], MATCH(_xlfn.CONCAT("teachingsof",Talent_Books[[#This Row],[NameHelper]]), TalentBooksImg[Name], 0)), "")</f>
        <v>#VALUE!</v>
      </c>
      <c r="J18" s="158">
        <f>SUMIF(TalentBook[Book],Talent_Books[[#This Row],[4* Book]],TalentBook[2* Book])</f>
        <v>9</v>
      </c>
      <c r="K18" s="153" t="e" vm="260">
        <f>IFERROR(INDEX(TalentBooksImg[Icon], MATCH(_xlfn.CONCAT("philosophiesof",Talent_Books[[#This Row],[NameHelper]]), TalentBooksImg[Name], 0)), "")</f>
        <v>#VALUE!</v>
      </c>
      <c r="L18" s="36">
        <f>IFERROR(INDEX(TalentBooksInv[Quantity], MATCH(Talent_Books[[#This Row],[4* Book2]], TalentBooksInv[Icon], 0)), "")</f>
        <v>28</v>
      </c>
      <c r="M18" s="165" t="e" vm="805">
        <f>IFERROR(INDEX(TalentBooksImg[Icon], MATCH(_xlfn.CONCAT("guideto",Talent_Books[[#This Row],[NameHelper]]), TalentBooksImg[Name], 0)), "")</f>
        <v>#VALUE!</v>
      </c>
      <c r="N18" s="175">
        <f>IFERROR(INDEX(TalentBooksInv[Quantity], MATCH(Talent_Books[[#This Row],[3* Book2]], TalentBooksInv[Icon], 0)), "")</f>
        <v>51</v>
      </c>
      <c r="O18" s="36" t="e" vm="806">
        <f>IFERROR(INDEX(TalentBooksImg[Icon], MATCH(_xlfn.CONCAT("teachingsof",Talent_Books[[#This Row],[NameHelper]]), TalentBooksImg[Name], 0)), "")</f>
        <v>#VALUE!</v>
      </c>
      <c r="P18" s="158">
        <f>IFERROR(INDEX(TalentBooksInv[Quantity], MATCH(Talent_Books[[#This Row],[2* Book2]], TalentBooksInv[Icon], 0)), "")</f>
        <v>121</v>
      </c>
      <c r="Q18" s="153" t="e" vm="260">
        <f>IFERROR(INDEX(TalentBooksImg[Icon], MATCH(_xlfn.CONCAT("philosophiesof",Talent_Books[[#This Row],[NameHelper]]), TalentBooksImg[Name], 0)), "")</f>
        <v>#VALUE!</v>
      </c>
      <c r="R18" s="36">
        <f>Talent_Books[[#This Row],[4* Need]]-Talent_Books[[#This Row],[4* Need2]]</f>
        <v>114</v>
      </c>
      <c r="S18" s="165" t="e" vm="805">
        <f>IFERROR(INDEX(TalentBooksImg[Icon], MATCH(_xlfn.CONCAT("guideto",Talent_Books[[#This Row],[NameHelper]]), TalentBooksImg[Name], 0)), "")</f>
        <v>#VALUE!</v>
      </c>
      <c r="T18" s="175">
        <f>Talent_Books[[#This Row],[3* Need]]-Talent_Books[[#This Row],[3* Need2]]</f>
        <v>12</v>
      </c>
      <c r="U18" s="36" t="e" vm="806">
        <f>IFERROR(INDEX(TalentBooksImg[Icon], MATCH(_xlfn.CONCAT("teachingsof",Talent_Books[[#This Row],[NameHelper]]), TalentBooksImg[Name], 0)), "")</f>
        <v>#VALUE!</v>
      </c>
      <c r="V18" s="158">
        <f>Talent_Books[[#This Row],[2* Need]]-Talent_Books[[#This Row],[2* Need2]]</f>
        <v>-112</v>
      </c>
    </row>
    <row r="19" spans="1:22" ht="16.5" thickBot="1" x14ac:dyDescent="0.3">
      <c r="A19" s="162"/>
      <c r="B19" s="163"/>
      <c r="C19" s="163"/>
      <c r="D19" s="163" t="s">
        <v>706</v>
      </c>
      <c r="E19" s="162"/>
      <c r="F19" s="163">
        <f>SUMIF(Talent_Books[4* Need],"&gt;=0")</f>
        <v>5754</v>
      </c>
      <c r="G19" s="178"/>
      <c r="H19" s="179">
        <f>SUMIF(Talent_Books[3* Need],"&gt;=0")</f>
        <v>2559</v>
      </c>
      <c r="I19" s="163"/>
      <c r="J19" s="164">
        <f>SUMIF(Talent_Books[2* Need],"&gt;=0")</f>
        <v>336</v>
      </c>
      <c r="K19" s="162"/>
      <c r="L19" s="163">
        <f>SUMIF(Talent_Books[4* Need2],"&gt;=0")</f>
        <v>250</v>
      </c>
      <c r="M19" s="178"/>
      <c r="N19" s="179">
        <f>SUMIF(Talent_Books[3* Need2],"&gt;=0")</f>
        <v>1100</v>
      </c>
      <c r="O19" s="163"/>
      <c r="P19" s="164">
        <f>SUMIF(Talent_Books[2* Need2],"&gt;=0")</f>
        <v>1341</v>
      </c>
      <c r="Q19" s="162"/>
      <c r="R19" s="163">
        <f>SUMIF(Talent_Books[4* Need3],"&gt;=0")</f>
        <v>5519</v>
      </c>
      <c r="S19" s="178"/>
      <c r="T19" s="179">
        <f>SUMIF(Talent_Books[3* Need3],"&gt;=0")</f>
        <v>1508</v>
      </c>
      <c r="U19" s="163"/>
      <c r="V19" s="164">
        <f>SUMIF(Talent_Books[2* Need3],"&gt;=0")</f>
        <v>0</v>
      </c>
    </row>
  </sheetData>
  <mergeCells count="4">
    <mergeCell ref="A1:V1"/>
    <mergeCell ref="E2:J2"/>
    <mergeCell ref="K2:P2"/>
    <mergeCell ref="Q2:V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I33"/>
  <sheetViews>
    <sheetView workbookViewId="0">
      <selection activeCell="D14" sqref="D14"/>
    </sheetView>
  </sheetViews>
  <sheetFormatPr defaultColWidth="9.140625" defaultRowHeight="15.75" x14ac:dyDescent="0.25"/>
  <cols>
    <col min="1" max="1" width="9.140625" style="36"/>
    <col min="2" max="2" width="36.42578125" style="36" bestFit="1" customWidth="1"/>
    <col min="3" max="3" width="28.7109375" style="36" hidden="1" customWidth="1"/>
    <col min="4" max="5" width="12.7109375" style="36" customWidth="1"/>
    <col min="6" max="6" width="17.7109375" style="36" bestFit="1" customWidth="1"/>
    <col min="7" max="7" width="18.5703125" style="36" bestFit="1" customWidth="1"/>
    <col min="8" max="8" width="16" style="36" customWidth="1"/>
    <col min="9" max="9" width="19" style="36" bestFit="1" customWidth="1"/>
    <col min="10" max="10" width="9.140625" style="36"/>
    <col min="11" max="11" width="9.140625" style="36" customWidth="1"/>
    <col min="12" max="16384" width="9.140625" style="36"/>
  </cols>
  <sheetData>
    <row r="1" spans="1:9" ht="36" thickBot="1" x14ac:dyDescent="0.3">
      <c r="A1" s="216" t="s">
        <v>4</v>
      </c>
      <c r="B1" s="217"/>
      <c r="C1" s="217"/>
      <c r="D1" s="217"/>
      <c r="E1" s="217"/>
      <c r="F1" s="217"/>
      <c r="G1" s="217"/>
      <c r="H1" s="217"/>
      <c r="I1" s="180" t="e" vm="733">
        <f>ImgDatabase!$AQ$5</f>
        <v>#VALUE!</v>
      </c>
    </row>
    <row r="2" spans="1:9" ht="30" customHeight="1" thickBot="1" x14ac:dyDescent="0.3">
      <c r="A2" s="162" t="s">
        <v>670</v>
      </c>
      <c r="B2" s="163" t="s">
        <v>4</v>
      </c>
      <c r="C2" s="163" t="s">
        <v>671</v>
      </c>
      <c r="D2" s="151" t="s">
        <v>719</v>
      </c>
      <c r="E2" s="151" t="s">
        <v>672</v>
      </c>
      <c r="F2" s="162" t="s">
        <v>679</v>
      </c>
      <c r="G2" s="163" t="s">
        <v>844</v>
      </c>
      <c r="H2" s="163" t="s">
        <v>845</v>
      </c>
      <c r="I2" s="181" t="s">
        <v>840</v>
      </c>
    </row>
    <row r="3" spans="1:9" ht="30" customHeight="1" x14ac:dyDescent="0.25">
      <c r="A3" s="153">
        <f>SUBTOTAL(3,$B$3:Weekly_Boss[[#This Row],[Weekly Boss]])</f>
        <v>1</v>
      </c>
      <c r="B3" s="182" t="s">
        <v>84</v>
      </c>
      <c r="C3" s="45" t="s">
        <v>85</v>
      </c>
      <c r="D3" s="36" t="e" vm="52">
        <f>IFERROR(INDEX(WeeklyBossImg[Icon], MATCH(Weekly_Boss[[#This Row],[NameHelper]], WeeklyBossImg[Name], 0)), "")</f>
        <v>#VALUE!</v>
      </c>
      <c r="E3" s="154">
        <v>1</v>
      </c>
      <c r="F3" s="155">
        <f>SUMIF(WeeklyBoss[Material],Weekly_Boss[[#This Row],[Weekly Boss Material]],WeeklyBoss[Need to Farm])</f>
        <v>47</v>
      </c>
      <c r="G3" s="156">
        <f>IFERROR(INDEX(WeeklyBossInv[Quantity], MATCH(Weekly_Boss[[#This Row],[Weekly Boss Material]],WeeklyBossInv[Icon], 0)), "")</f>
        <v>26</v>
      </c>
      <c r="H3" s="156">
        <f t="shared" ref="H3:H32" si="0">F3-G3</f>
        <v>21</v>
      </c>
      <c r="I3" s="215">
        <f>IF(SUMIF(H3:H5,"&gt;=0")&lt;=(ABS(SUMIF(H3:H5,"&lt;=0"))),IF((SUMIF(H3:H5,"&lt;=0"))&lt;=0,SUMIF(H3:H5,"&gt;=0"),0),ABS(SUMIF(H3:H5,"&lt;=0")))</f>
        <v>0</v>
      </c>
    </row>
    <row r="4" spans="1:9" ht="30" customHeight="1" x14ac:dyDescent="0.25">
      <c r="A4" s="153">
        <f>SUBTOTAL(3,$B$3:Weekly_Boss[[#This Row],[Weekly Boss]])</f>
        <v>2</v>
      </c>
      <c r="B4" s="182" t="s">
        <v>84</v>
      </c>
      <c r="C4" s="45" t="s">
        <v>98</v>
      </c>
      <c r="D4" s="36" t="e" vm="531">
        <f>IFERROR(INDEX(WeeklyBossImg[Icon], MATCH(Weekly_Boss[[#This Row],[NameHelper]], WeeklyBossImg[Name], 0)), "")</f>
        <v>#VALUE!</v>
      </c>
      <c r="E4" s="154">
        <v>1</v>
      </c>
      <c r="F4" s="153">
        <f>SUMIF(WeeklyBoss[Material],Weekly_Boss[[#This Row],[Weekly Boss Material]],WeeklyBoss[Need to Farm])</f>
        <v>60</v>
      </c>
      <c r="G4" s="36">
        <f>IFERROR(INDEX(WeeklyBossInv[Quantity], MATCH(Weekly_Boss[[#This Row],[Weekly Boss Material]],WeeklyBossInv[Icon], 0)), "")</f>
        <v>19</v>
      </c>
      <c r="H4" s="36">
        <f>F4-G4</f>
        <v>41</v>
      </c>
      <c r="I4" s="215"/>
    </row>
    <row r="5" spans="1:9" ht="30" customHeight="1" x14ac:dyDescent="0.25">
      <c r="A5" s="153">
        <f>SUBTOTAL(3,$B$3:Weekly_Boss[[#This Row],[Weekly Boss]])</f>
        <v>3</v>
      </c>
      <c r="B5" s="182" t="s">
        <v>84</v>
      </c>
      <c r="C5" s="45" t="s">
        <v>111</v>
      </c>
      <c r="D5" s="36" t="e" vm="292">
        <f>IFERROR(INDEX(WeeklyBossImg[Icon], MATCH(Weekly_Boss[[#This Row],[NameHelper]], WeeklyBossImg[Name], 0)), "")</f>
        <v>#VALUE!</v>
      </c>
      <c r="E5" s="154">
        <v>1</v>
      </c>
      <c r="F5" s="153">
        <f>SUMIF(WeeklyBoss[Material],Weekly_Boss[[#This Row],[Weekly Boss Material]],WeeklyBoss[Need to Farm])</f>
        <v>72</v>
      </c>
      <c r="G5" s="36">
        <f>IFERROR(INDEX(WeeklyBossInv[Quantity], MATCH(Weekly_Boss[[#This Row],[Weekly Boss Material]],WeeklyBossInv[Icon], 0)), "")</f>
        <v>30</v>
      </c>
      <c r="H5" s="36">
        <f t="shared" si="0"/>
        <v>42</v>
      </c>
      <c r="I5" s="215"/>
    </row>
    <row r="6" spans="1:9" ht="30" customHeight="1" x14ac:dyDescent="0.25">
      <c r="A6" s="153">
        <f>SUBTOTAL(3,$B$3:Weekly_Boss[[#This Row],[Weekly Boss]])</f>
        <v>4</v>
      </c>
      <c r="B6" s="182" t="s">
        <v>124</v>
      </c>
      <c r="C6" s="45" t="s">
        <v>125</v>
      </c>
      <c r="D6" s="36" t="e" vm="282">
        <f>IFERROR(INDEX(WeeklyBossImg[Icon], MATCH(Weekly_Boss[[#This Row],[NameHelper]], WeeklyBossImg[Name], 0)), "")</f>
        <v>#VALUE!</v>
      </c>
      <c r="E6" s="154">
        <v>1.01</v>
      </c>
      <c r="F6" s="153">
        <f>SUMIF(WeeklyBoss[Material],Weekly_Boss[[#This Row],[Weekly Boss Material]],WeeklyBoss[Need to Farm])</f>
        <v>54</v>
      </c>
      <c r="G6" s="36">
        <f>IFERROR(INDEX(WeeklyBossInv[Quantity], MATCH(Weekly_Boss[[#This Row],[Weekly Boss Material]],WeeklyBossInv[Icon], 0)), "")</f>
        <v>10</v>
      </c>
      <c r="H6" s="36">
        <f t="shared" si="0"/>
        <v>44</v>
      </c>
      <c r="I6" s="215">
        <f t="shared" ref="I6" si="1">IF(SUMIF(H6:H8,"&gt;=0")&lt;=(ABS(SUMIF(H6:H8,"&lt;=0"))),IF((SUMIF(H6:H8,"&lt;=0"))&lt;=0,SUMIF(H6:H8,"&gt;=0"),0),ABS(SUMIF(H6:H8,"&lt;=0")))</f>
        <v>0</v>
      </c>
    </row>
    <row r="7" spans="1:9" ht="30" customHeight="1" x14ac:dyDescent="0.25">
      <c r="A7" s="153">
        <f>SUBTOTAL(3,$B$3:Weekly_Boss[[#This Row],[Weekly Boss]])</f>
        <v>5</v>
      </c>
      <c r="B7" s="182" t="s">
        <v>124</v>
      </c>
      <c r="C7" s="45" t="s">
        <v>138</v>
      </c>
      <c r="D7" s="36" t="e" vm="167">
        <f>IFERROR(INDEX(WeeklyBossImg[Icon], MATCH(Weekly_Boss[[#This Row],[NameHelper]], WeeklyBossImg[Name], 0)), "")</f>
        <v>#VALUE!</v>
      </c>
      <c r="E7" s="154">
        <v>1.01</v>
      </c>
      <c r="F7" s="153">
        <f>SUMIF(WeeklyBoss[Material],Weekly_Boss[[#This Row],[Weekly Boss Material]],WeeklyBoss[Need to Farm])</f>
        <v>54</v>
      </c>
      <c r="G7" s="36">
        <f>IFERROR(INDEX(WeeklyBossInv[Quantity], MATCH(Weekly_Boss[[#This Row],[Weekly Boss Material]],WeeklyBossInv[Icon], 0)), "")</f>
        <v>1</v>
      </c>
      <c r="H7" s="36">
        <f t="shared" si="0"/>
        <v>53</v>
      </c>
      <c r="I7" s="215"/>
    </row>
    <row r="8" spans="1:9" ht="30" customHeight="1" x14ac:dyDescent="0.25">
      <c r="A8" s="153">
        <f>SUBTOTAL(3,$B$3:Weekly_Boss[[#This Row],[Weekly Boss]])</f>
        <v>6</v>
      </c>
      <c r="B8" s="182" t="s">
        <v>124</v>
      </c>
      <c r="C8" s="45" t="s">
        <v>150</v>
      </c>
      <c r="D8" s="36" t="e" vm="211">
        <f>IFERROR(INDEX(WeeklyBossImg[Icon], MATCH(Weekly_Boss[[#This Row],[NameHelper]], WeeklyBossImg[Name], 0)), "")</f>
        <v>#VALUE!</v>
      </c>
      <c r="E8" s="154">
        <v>1.01</v>
      </c>
      <c r="F8" s="153">
        <f>SUMIF(WeeklyBoss[Material],Weekly_Boss[[#This Row],[Weekly Boss Material]],WeeklyBoss[Need to Farm])</f>
        <v>48</v>
      </c>
      <c r="G8" s="36">
        <f>IFERROR(INDEX(WeeklyBossInv[Quantity], MATCH(Weekly_Boss[[#This Row],[Weekly Boss Material]],WeeklyBossInv[Icon], 0)), "")</f>
        <v>15</v>
      </c>
      <c r="H8" s="36">
        <f t="shared" si="0"/>
        <v>33</v>
      </c>
      <c r="I8" s="215"/>
    </row>
    <row r="9" spans="1:9" ht="30" customHeight="1" x14ac:dyDescent="0.25">
      <c r="A9" s="153">
        <f>SUBTOTAL(3,$B$3:Weekly_Boss[[#This Row],[Weekly Boss]])</f>
        <v>7</v>
      </c>
      <c r="B9" s="182" t="s">
        <v>161</v>
      </c>
      <c r="C9" s="45" t="s">
        <v>162</v>
      </c>
      <c r="D9" s="36" t="e" vm="380">
        <f>IFERROR(INDEX(WeeklyBossImg[Icon], MATCH(Weekly_Boss[[#This Row],[NameHelper]], WeeklyBossImg[Name], 0)), "")</f>
        <v>#VALUE!</v>
      </c>
      <c r="E9" s="154">
        <v>1.1000000000000001</v>
      </c>
      <c r="F9" s="153">
        <f>SUMIF(WeeklyBoss[Material],Weekly_Boss[[#This Row],[Weekly Boss Material]],WeeklyBoss[Need to Farm])</f>
        <v>18</v>
      </c>
      <c r="G9" s="36">
        <f>IFERROR(INDEX(WeeklyBossInv[Quantity], MATCH(Weekly_Boss[[#This Row],[Weekly Boss Material]],WeeklyBossInv[Icon], 0)), "")</f>
        <v>18</v>
      </c>
      <c r="H9" s="36">
        <f t="shared" si="0"/>
        <v>0</v>
      </c>
      <c r="I9" s="215">
        <f t="shared" ref="I9" si="2">IF(SUMIF(H9:H11,"&gt;=0")&lt;=(ABS(SUMIF(H9:H11,"&lt;=0"))),IF((SUMIF(H9:H11,"&lt;=0"))&lt;=0,SUMIF(H9:H11,"&gt;=0"),0),ABS(SUMIF(H9:H11,"&lt;=0")))</f>
        <v>9</v>
      </c>
    </row>
    <row r="10" spans="1:9" ht="30" customHeight="1" x14ac:dyDescent="0.25">
      <c r="A10" s="153">
        <f>SUBTOTAL(3,$B$3:Weekly_Boss[[#This Row],[Weekly Boss]])</f>
        <v>8</v>
      </c>
      <c r="B10" s="182" t="s">
        <v>161</v>
      </c>
      <c r="C10" s="45" t="s">
        <v>174</v>
      </c>
      <c r="D10" s="36" t="e" vm="408">
        <f>IFERROR(INDEX(WeeklyBossImg[Icon], MATCH(Weekly_Boss[[#This Row],[NameHelper]], WeeklyBossImg[Name], 0)), "")</f>
        <v>#VALUE!</v>
      </c>
      <c r="E10" s="154">
        <v>1.1000000000000001</v>
      </c>
      <c r="F10" s="153">
        <f>SUMIF(WeeklyBoss[Material],Weekly_Boss[[#This Row],[Weekly Boss Material]],WeeklyBoss[Need to Farm])</f>
        <v>22</v>
      </c>
      <c r="G10" s="36">
        <f>IFERROR(INDEX(WeeklyBossInv[Quantity], MATCH(Weekly_Boss[[#This Row],[Weekly Boss Material]],WeeklyBossInv[Icon], 0)), "")</f>
        <v>31</v>
      </c>
      <c r="H10" s="36">
        <f t="shared" si="0"/>
        <v>-9</v>
      </c>
      <c r="I10" s="215"/>
    </row>
    <row r="11" spans="1:9" ht="30" customHeight="1" x14ac:dyDescent="0.25">
      <c r="A11" s="153">
        <f>SUBTOTAL(3,$B$3:Weekly_Boss[[#This Row],[Weekly Boss]])</f>
        <v>9</v>
      </c>
      <c r="B11" s="182" t="s">
        <v>161</v>
      </c>
      <c r="C11" s="45" t="s">
        <v>183</v>
      </c>
      <c r="D11" s="36" t="e" vm="8">
        <f>IFERROR(INDEX(WeeklyBossImg[Icon], MATCH(Weekly_Boss[[#This Row],[NameHelper]], WeeklyBossImg[Name], 0)), "")</f>
        <v>#VALUE!</v>
      </c>
      <c r="E11" s="154">
        <v>1.1000000000000001</v>
      </c>
      <c r="F11" s="153">
        <f>SUMIF(WeeklyBoss[Material],Weekly_Boss[[#This Row],[Weekly Boss Material]],WeeklyBoss[Need to Farm])</f>
        <v>36</v>
      </c>
      <c r="G11" s="36">
        <f>IFERROR(INDEX(WeeklyBossInv[Quantity], MATCH(Weekly_Boss[[#This Row],[Weekly Boss Material]],WeeklyBossInv[Icon], 0)), "")</f>
        <v>13</v>
      </c>
      <c r="H11" s="36">
        <f t="shared" si="0"/>
        <v>23</v>
      </c>
      <c r="I11" s="215"/>
    </row>
    <row r="12" spans="1:9" ht="30" customHeight="1" x14ac:dyDescent="0.25">
      <c r="A12" s="153">
        <f>SUBTOTAL(3,$B$3:Weekly_Boss[[#This Row],[Weekly Boss]])</f>
        <v>10</v>
      </c>
      <c r="B12" s="182" t="s">
        <v>192</v>
      </c>
      <c r="C12" s="45" t="s">
        <v>193</v>
      </c>
      <c r="D12" s="36" t="e" vm="311">
        <f>IFERROR(INDEX(WeeklyBossImg[Icon], MATCH(Weekly_Boss[[#This Row],[NameHelper]], WeeklyBossImg[Name], 0)), "")</f>
        <v>#VALUE!</v>
      </c>
      <c r="E12" s="154">
        <v>1.5</v>
      </c>
      <c r="F12" s="153">
        <f>SUMIF(WeeklyBoss[Material],Weekly_Boss[[#This Row],[Weekly Boss Material]],WeeklyBoss[Need to Farm])</f>
        <v>34</v>
      </c>
      <c r="G12" s="36">
        <f>IFERROR(INDEX(WeeklyBossInv[Quantity], MATCH(Weekly_Boss[[#This Row],[Weekly Boss Material]],WeeklyBossInv[Icon], 0)), "")</f>
        <v>15</v>
      </c>
      <c r="H12" s="36">
        <f t="shared" si="0"/>
        <v>19</v>
      </c>
      <c r="I12" s="215">
        <f t="shared" ref="I12" si="3">IF(SUMIF(H12:H14,"&gt;=0")&lt;=(ABS(SUMIF(H12:H14,"&lt;=0"))),IF((SUMIF(H12:H14,"&lt;=0"))&lt;=0,SUMIF(H12:H14,"&gt;=0"),0),ABS(SUMIF(H12:H14,"&lt;=0")))</f>
        <v>0</v>
      </c>
    </row>
    <row r="13" spans="1:9" ht="30" customHeight="1" x14ac:dyDescent="0.25">
      <c r="A13" s="153">
        <f>SUBTOTAL(3,$B$3:Weekly_Boss[[#This Row],[Weekly Boss]])</f>
        <v>11</v>
      </c>
      <c r="B13" s="182" t="s">
        <v>192</v>
      </c>
      <c r="C13" s="45" t="s">
        <v>203</v>
      </c>
      <c r="D13" s="36" t="e" vm="150">
        <f>IFERROR(INDEX(WeeklyBossImg[Icon], MATCH(Weekly_Boss[[#This Row],[NameHelper]], WeeklyBossImg[Name], 0)), "")</f>
        <v>#VALUE!</v>
      </c>
      <c r="E13" s="154">
        <v>1.5</v>
      </c>
      <c r="F13" s="153">
        <f>SUMIF(WeeklyBoss[Material],Weekly_Boss[[#This Row],[Weekly Boss Material]],WeeklyBoss[Need to Farm])</f>
        <v>36</v>
      </c>
      <c r="G13" s="36">
        <f>IFERROR(INDEX(WeeklyBossInv[Quantity], MATCH(Weekly_Boss[[#This Row],[Weekly Boss Material]],WeeklyBossInv[Icon], 0)), "")</f>
        <v>20</v>
      </c>
      <c r="H13" s="36">
        <f t="shared" si="0"/>
        <v>16</v>
      </c>
      <c r="I13" s="215"/>
    </row>
    <row r="14" spans="1:9" ht="30" customHeight="1" x14ac:dyDescent="0.25">
      <c r="A14" s="153">
        <f>SUBTOTAL(3,$B$3:Weekly_Boss[[#This Row],[Weekly Boss]])</f>
        <v>12</v>
      </c>
      <c r="B14" s="182" t="s">
        <v>192</v>
      </c>
      <c r="C14" s="45" t="s">
        <v>212</v>
      </c>
      <c r="D14" s="36" t="e" vm="182">
        <f>IFERROR(INDEX(WeeklyBossImg[Icon], MATCH(Weekly_Boss[[#This Row],[NameHelper]], WeeklyBossImg[Name], 0)), "")</f>
        <v>#VALUE!</v>
      </c>
      <c r="E14" s="154">
        <v>1.5</v>
      </c>
      <c r="F14" s="153">
        <f>SUMIF(WeeklyBoss[Material],Weekly_Boss[[#This Row],[Weekly Boss Material]],WeeklyBoss[Need to Farm])</f>
        <v>36</v>
      </c>
      <c r="G14" s="36">
        <f>IFERROR(INDEX(WeeklyBossInv[Quantity], MATCH(Weekly_Boss[[#This Row],[Weekly Boss Material]],WeeklyBossInv[Icon], 0)), "")</f>
        <v>27</v>
      </c>
      <c r="H14" s="36">
        <f t="shared" si="0"/>
        <v>9</v>
      </c>
      <c r="I14" s="215"/>
    </row>
    <row r="15" spans="1:9" ht="30" customHeight="1" x14ac:dyDescent="0.25">
      <c r="A15" s="153">
        <f>SUBTOTAL(3,$B$3:Weekly_Boss[[#This Row],[Weekly Boss]])</f>
        <v>13</v>
      </c>
      <c r="B15" s="182" t="s">
        <v>221</v>
      </c>
      <c r="C15" s="45" t="s">
        <v>222</v>
      </c>
      <c r="D15" s="36" t="e" vm="579">
        <f>IFERROR(INDEX(WeeklyBossImg[Icon], MATCH(Weekly_Boss[[#This Row],[NameHelper]], WeeklyBossImg[Name], 0)), "")</f>
        <v>#VALUE!</v>
      </c>
      <c r="E15" s="154">
        <v>2.1</v>
      </c>
      <c r="F15" s="153">
        <f>SUMIF(WeeklyBoss[Material],Weekly_Boss[[#This Row],[Weekly Boss Material]],WeeklyBoss[Need to Farm])</f>
        <v>36</v>
      </c>
      <c r="G15" s="36">
        <f>IFERROR(INDEX(WeeklyBossInv[Quantity], MATCH(Weekly_Boss[[#This Row],[Weekly Boss Material]],WeeklyBossInv[Icon], 0)), "")</f>
        <v>4</v>
      </c>
      <c r="H15" s="36">
        <f t="shared" si="0"/>
        <v>32</v>
      </c>
      <c r="I15" s="215">
        <f t="shared" ref="I15" si="4">IF(SUMIF(H15:H17,"&gt;=0")&lt;=(ABS(SUMIF(H15:H17,"&lt;=0"))),IF((SUMIF(H15:H17,"&lt;=0"))&lt;=0,SUMIF(H15:H17,"&gt;=0"),0),ABS(SUMIF(H15:H17,"&lt;=0")))</f>
        <v>0</v>
      </c>
    </row>
    <row r="16" spans="1:9" ht="30" customHeight="1" x14ac:dyDescent="0.25">
      <c r="A16" s="153">
        <f>SUBTOTAL(3,$B$3:Weekly_Boss[[#This Row],[Weekly Boss]])</f>
        <v>14</v>
      </c>
      <c r="B16" s="182" t="s">
        <v>221</v>
      </c>
      <c r="C16" s="45" t="s">
        <v>232</v>
      </c>
      <c r="D16" s="36" t="e" vm="425">
        <f>IFERROR(INDEX(WeeklyBossImg[Icon], MATCH(Weekly_Boss[[#This Row],[NameHelper]], WeeklyBossImg[Name], 0)), "")</f>
        <v>#VALUE!</v>
      </c>
      <c r="E16" s="154">
        <v>2.1</v>
      </c>
      <c r="F16" s="153">
        <f>SUMIF(WeeklyBoss[Material],Weekly_Boss[[#This Row],[Weekly Boss Material]],WeeklyBoss[Need to Farm])</f>
        <v>36</v>
      </c>
      <c r="G16" s="36">
        <f>IFERROR(INDEX(WeeklyBossInv[Quantity], MATCH(Weekly_Boss[[#This Row],[Weekly Boss Material]],WeeklyBossInv[Icon], 0)), "")</f>
        <v>23</v>
      </c>
      <c r="H16" s="36">
        <f t="shared" si="0"/>
        <v>13</v>
      </c>
      <c r="I16" s="215"/>
    </row>
    <row r="17" spans="1:9" ht="30" customHeight="1" x14ac:dyDescent="0.25">
      <c r="A17" s="153">
        <f>SUBTOTAL(3,$B$3:Weekly_Boss[[#This Row],[Weekly Boss]])</f>
        <v>15</v>
      </c>
      <c r="B17" s="182" t="s">
        <v>221</v>
      </c>
      <c r="C17" s="45" t="s">
        <v>241</v>
      </c>
      <c r="D17" s="36" t="e" vm="350">
        <f>IFERROR(INDEX(WeeklyBossImg[Icon], MATCH(Weekly_Boss[[#This Row],[NameHelper]], WeeklyBossImg[Name], 0)), "")</f>
        <v>#VALUE!</v>
      </c>
      <c r="E17" s="154">
        <v>2.1</v>
      </c>
      <c r="F17" s="153">
        <f>SUMIF(WeeklyBoss[Material],Weekly_Boss[[#This Row],[Weekly Boss Material]],WeeklyBoss[Need to Farm])</f>
        <v>44</v>
      </c>
      <c r="G17" s="36">
        <f>IFERROR(INDEX(WeeklyBossInv[Quantity], MATCH(Weekly_Boss[[#This Row],[Weekly Boss Material]],WeeklyBossInv[Icon], 0)), "")</f>
        <v>17</v>
      </c>
      <c r="H17" s="36">
        <f t="shared" si="0"/>
        <v>27</v>
      </c>
      <c r="I17" s="215"/>
    </row>
    <row r="18" spans="1:9" ht="30" customHeight="1" x14ac:dyDescent="0.25">
      <c r="A18" s="153">
        <f>SUBTOTAL(3,$B$3:Weekly_Boss[[#This Row],[Weekly Boss]])</f>
        <v>16</v>
      </c>
      <c r="B18" s="182" t="s">
        <v>250</v>
      </c>
      <c r="C18" s="45" t="s">
        <v>251</v>
      </c>
      <c r="D18" s="36" t="e" vm="198">
        <f>IFERROR(INDEX(WeeklyBossImg[Icon], MATCH(Weekly_Boss[[#This Row],[NameHelper]], WeeklyBossImg[Name], 0)), "")</f>
        <v>#VALUE!</v>
      </c>
      <c r="E18" s="154">
        <v>2.5</v>
      </c>
      <c r="F18" s="153">
        <f>SUMIF(WeeklyBoss[Material],Weekly_Boss[[#This Row],[Weekly Boss Material]],WeeklyBoss[Need to Farm])</f>
        <v>18</v>
      </c>
      <c r="G18" s="36">
        <f>IFERROR(INDEX(WeeklyBossInv[Quantity], MATCH(Weekly_Boss[[#This Row],[Weekly Boss Material]],WeeklyBossInv[Icon], 0)), "")</f>
        <v>13</v>
      </c>
      <c r="H18" s="36">
        <f t="shared" si="0"/>
        <v>5</v>
      </c>
      <c r="I18" s="215">
        <f t="shared" ref="I18" si="5">IF(SUMIF(H18:H20,"&gt;=0")&lt;=(ABS(SUMIF(H18:H20,"&lt;=0"))),IF((SUMIF(H18:H20,"&lt;=0"))&lt;=0,SUMIF(H18:H20,"&gt;=0"),0),ABS(SUMIF(H18:H20,"&lt;=0")))</f>
        <v>0</v>
      </c>
    </row>
    <row r="19" spans="1:9" ht="30" customHeight="1" x14ac:dyDescent="0.25">
      <c r="A19" s="153">
        <f>SUBTOTAL(3,$B$3:Weekly_Boss[[#This Row],[Weekly Boss]])</f>
        <v>17</v>
      </c>
      <c r="B19" s="182" t="s">
        <v>250</v>
      </c>
      <c r="C19" s="45" t="s">
        <v>261</v>
      </c>
      <c r="D19" s="36" t="e" vm="456">
        <f>IFERROR(INDEX(WeeklyBossImg[Icon], MATCH(Weekly_Boss[[#This Row],[NameHelper]], WeeklyBossImg[Name], 0)), "")</f>
        <v>#VALUE!</v>
      </c>
      <c r="E19" s="154">
        <v>2.5</v>
      </c>
      <c r="F19" s="153">
        <f>SUMIF(WeeklyBoss[Material],Weekly_Boss[[#This Row],[Weekly Boss Material]],WeeklyBoss[Need to Farm])</f>
        <v>36</v>
      </c>
      <c r="G19" s="36">
        <f>IFERROR(INDEX(WeeklyBossInv[Quantity], MATCH(Weekly_Boss[[#This Row],[Weekly Boss Material]],WeeklyBossInv[Icon], 0)), "")</f>
        <v>12</v>
      </c>
      <c r="H19" s="36">
        <f t="shared" si="0"/>
        <v>24</v>
      </c>
      <c r="I19" s="215"/>
    </row>
    <row r="20" spans="1:9" ht="30" customHeight="1" x14ac:dyDescent="0.25">
      <c r="A20" s="153">
        <f>SUBTOTAL(3,$B$3:Weekly_Boss[[#This Row],[Weekly Boss]])</f>
        <v>18</v>
      </c>
      <c r="B20" s="182" t="s">
        <v>250</v>
      </c>
      <c r="C20" s="45" t="s">
        <v>270</v>
      </c>
      <c r="D20" s="36" t="e" vm="240">
        <f>IFERROR(INDEX(WeeklyBossImg[Icon], MATCH(Weekly_Boss[[#This Row],[NameHelper]], WeeklyBossImg[Name], 0)), "")</f>
        <v>#VALUE!</v>
      </c>
      <c r="E20" s="154">
        <v>2.5</v>
      </c>
      <c r="F20" s="153">
        <f>SUMIF(WeeklyBoss[Material],Weekly_Boss[[#This Row],[Weekly Boss Material]],WeeklyBoss[Need to Farm])</f>
        <v>50</v>
      </c>
      <c r="G20" s="36">
        <f>IFERROR(INDEX(WeeklyBossInv[Quantity], MATCH(Weekly_Boss[[#This Row],[Weekly Boss Material]],WeeklyBossInv[Icon], 0)), "")</f>
        <v>9</v>
      </c>
      <c r="H20" s="36">
        <f t="shared" si="0"/>
        <v>41</v>
      </c>
      <c r="I20" s="215"/>
    </row>
    <row r="21" spans="1:9" ht="30" customHeight="1" x14ac:dyDescent="0.25">
      <c r="A21" s="153">
        <f>SUBTOTAL(3,$B$3:Weekly_Boss[[#This Row],[Weekly Boss]])</f>
        <v>19</v>
      </c>
      <c r="B21" s="182" t="s">
        <v>38</v>
      </c>
      <c r="C21" s="45" t="s">
        <v>279</v>
      </c>
      <c r="D21" s="36" t="e" vm="390">
        <f>IFERROR(INDEX(WeeklyBossImg[Icon], MATCH(Weekly_Boss[[#This Row],[NameHelper]], WeeklyBossImg[Name], 0)), "")</f>
        <v>#VALUE!</v>
      </c>
      <c r="E21" s="154">
        <v>3.2</v>
      </c>
      <c r="F21" s="153">
        <f>SUMIF(WeeklyBoss[Material],Weekly_Boss[[#This Row],[Weekly Boss Material]],WeeklyBoss[Need to Farm])</f>
        <v>14</v>
      </c>
      <c r="G21" s="36">
        <f>IFERROR(INDEX(WeeklyBossInv[Quantity], MATCH(Weekly_Boss[[#This Row],[Weekly Boss Material]],WeeklyBossInv[Icon], 0)), "")</f>
        <v>23</v>
      </c>
      <c r="H21" s="36">
        <f t="shared" si="0"/>
        <v>-9</v>
      </c>
      <c r="I21" s="215">
        <f t="shared" ref="I21" si="6">IF(SUMIF(H21:H23,"&gt;=0")&lt;=(ABS(SUMIF(H21:H23,"&lt;=0"))),IF((SUMIF(H21:H23,"&lt;=0"))&lt;=0,SUMIF(H21:H23,"&gt;=0"),0),ABS(SUMIF(H21:H23,"&lt;=0")))</f>
        <v>9</v>
      </c>
    </row>
    <row r="22" spans="1:9" ht="30" customHeight="1" x14ac:dyDescent="0.25">
      <c r="A22" s="153">
        <f>SUBTOTAL(3,$B$3:Weekly_Boss[[#This Row],[Weekly Boss]])</f>
        <v>20</v>
      </c>
      <c r="B22" s="182" t="s">
        <v>38</v>
      </c>
      <c r="C22" s="45" t="s">
        <v>289</v>
      </c>
      <c r="D22" s="36" t="e" vm="443">
        <f>IFERROR(INDEX(WeeklyBossImg[Icon], MATCH(Weekly_Boss[[#This Row],[NameHelper]], WeeklyBossImg[Name], 0)), "")</f>
        <v>#VALUE!</v>
      </c>
      <c r="E22" s="154">
        <v>3.2</v>
      </c>
      <c r="F22" s="153">
        <f>SUMIF(WeeklyBoss[Material],Weekly_Boss[[#This Row],[Weekly Boss Material]],WeeklyBoss[Need to Farm])</f>
        <v>18</v>
      </c>
      <c r="G22" s="36">
        <f>IFERROR(INDEX(WeeklyBossInv[Quantity], MATCH(Weekly_Boss[[#This Row],[Weekly Boss Material]],WeeklyBossInv[Icon], 0)), "")</f>
        <v>10</v>
      </c>
      <c r="H22" s="36">
        <f t="shared" si="0"/>
        <v>8</v>
      </c>
      <c r="I22" s="215"/>
    </row>
    <row r="23" spans="1:9" ht="30" customHeight="1" x14ac:dyDescent="0.25">
      <c r="A23" s="153">
        <f>SUBTOTAL(3,$B$3:Weekly_Boss[[#This Row],[Weekly Boss]])</f>
        <v>21</v>
      </c>
      <c r="B23" s="182" t="s">
        <v>38</v>
      </c>
      <c r="C23" s="45" t="s">
        <v>298</v>
      </c>
      <c r="D23" s="36" t="e" vm="30">
        <f>IFERROR(INDEX(WeeklyBossImg[Icon], MATCH(Weekly_Boss[[#This Row],[NameHelper]], WeeklyBossImg[Name], 0)), "")</f>
        <v>#VALUE!</v>
      </c>
      <c r="E23" s="154">
        <v>3.2</v>
      </c>
      <c r="F23" s="153">
        <f>SUMIF(WeeklyBoss[Material],Weekly_Boss[[#This Row],[Weekly Boss Material]],WeeklyBoss[Need to Farm])</f>
        <v>49</v>
      </c>
      <c r="G23" s="36">
        <f>IFERROR(INDEX(WeeklyBossInv[Quantity], MATCH(Weekly_Boss[[#This Row],[Weekly Boss Material]],WeeklyBossInv[Icon], 0)), "")</f>
        <v>7</v>
      </c>
      <c r="H23" s="36">
        <f t="shared" si="0"/>
        <v>42</v>
      </c>
      <c r="I23" s="215"/>
    </row>
    <row r="24" spans="1:9" ht="30" customHeight="1" x14ac:dyDescent="0.25">
      <c r="A24" s="153">
        <f>SUBTOTAL(3,$B$3:Weekly_Boss[[#This Row],[Weekly Boss]])</f>
        <v>22</v>
      </c>
      <c r="B24" s="182" t="s">
        <v>307</v>
      </c>
      <c r="C24" s="45" t="s">
        <v>308</v>
      </c>
      <c r="D24" s="36" t="e" vm="433">
        <f>IFERROR(INDEX(WeeklyBossImg[Icon], MATCH(Weekly_Boss[[#This Row],[NameHelper]], WeeklyBossImg[Name], 0)), "")</f>
        <v>#VALUE!</v>
      </c>
      <c r="E24" s="154">
        <v>3.6</v>
      </c>
      <c r="F24" s="153">
        <f>SUMIF(WeeklyBoss[Material],Weekly_Boss[[#This Row],[Weekly Boss Material]],WeeklyBoss[Need to Farm])</f>
        <v>18</v>
      </c>
      <c r="G24" s="36">
        <f>IFERROR(INDEX(WeeklyBossInv[Quantity], MATCH(Weekly_Boss[[#This Row],[Weekly Boss Material]],WeeklyBossInv[Icon], 0)), "")</f>
        <v>11</v>
      </c>
      <c r="H24" s="36">
        <f t="shared" si="0"/>
        <v>7</v>
      </c>
      <c r="I24" s="215">
        <f t="shared" ref="I24" si="7">IF(SUMIF(H24:H26,"&gt;=0")&lt;=(ABS(SUMIF(H24:H26,"&lt;=0"))),IF((SUMIF(H24:H26,"&lt;=0"))&lt;=0,SUMIF(H24:H26,"&gt;=0"),0),ABS(SUMIF(H24:H26,"&lt;=0")))</f>
        <v>0</v>
      </c>
    </row>
    <row r="25" spans="1:9" ht="30" customHeight="1" x14ac:dyDescent="0.25">
      <c r="A25" s="153">
        <f>SUBTOTAL(3,$B$3:Weekly_Boss[[#This Row],[Weekly Boss]])</f>
        <v>23</v>
      </c>
      <c r="B25" s="182" t="s">
        <v>307</v>
      </c>
      <c r="C25" s="45" t="s">
        <v>318</v>
      </c>
      <c r="D25" s="36" t="e" vm="93">
        <f>IFERROR(INDEX(WeeklyBossImg[Icon], MATCH(Weekly_Boss[[#This Row],[NameHelper]], WeeklyBossImg[Name], 0)), "")</f>
        <v>#VALUE!</v>
      </c>
      <c r="E25" s="154">
        <v>3.6</v>
      </c>
      <c r="F25" s="153">
        <f>SUMIF(WeeklyBoss[Material],Weekly_Boss[[#This Row],[Weekly Boss Material]],WeeklyBoss[Need to Farm])</f>
        <v>36</v>
      </c>
      <c r="G25" s="36">
        <f>IFERROR(INDEX(WeeklyBossInv[Quantity], MATCH(Weekly_Boss[[#This Row],[Weekly Boss Material]],WeeklyBossInv[Icon], 0)), "")</f>
        <v>3</v>
      </c>
      <c r="H25" s="36">
        <f t="shared" si="0"/>
        <v>33</v>
      </c>
      <c r="I25" s="215"/>
    </row>
    <row r="26" spans="1:9" ht="30" customHeight="1" x14ac:dyDescent="0.25">
      <c r="A26" s="153">
        <f>SUBTOTAL(3,$B$3:Weekly_Boss[[#This Row],[Weekly Boss]])</f>
        <v>24</v>
      </c>
      <c r="B26" s="182" t="s">
        <v>307</v>
      </c>
      <c r="C26" s="45" t="s">
        <v>326</v>
      </c>
      <c r="D26" s="36" t="e" vm="328">
        <f>IFERROR(INDEX(WeeklyBossImg[Icon], MATCH(Weekly_Boss[[#This Row],[NameHelper]], WeeklyBossImg[Name], 0)), "")</f>
        <v>#VALUE!</v>
      </c>
      <c r="E26" s="154">
        <v>3.6</v>
      </c>
      <c r="F26" s="153">
        <f>SUMIF(WeeklyBoss[Material],Weekly_Boss[[#This Row],[Weekly Boss Material]],WeeklyBoss[Need to Farm])</f>
        <v>46</v>
      </c>
      <c r="G26" s="36">
        <f>IFERROR(INDEX(WeeklyBossInv[Quantity], MATCH(Weekly_Boss[[#This Row],[Weekly Boss Material]],WeeklyBossInv[Icon], 0)), "")</f>
        <v>2</v>
      </c>
      <c r="H26" s="36">
        <f t="shared" si="0"/>
        <v>44</v>
      </c>
      <c r="I26" s="215"/>
    </row>
    <row r="27" spans="1:9" ht="30" customHeight="1" x14ac:dyDescent="0.25">
      <c r="A27" s="153">
        <f>SUBTOTAL(3,$B$3:Weekly_Boss[[#This Row],[Weekly Boss]])</f>
        <v>25</v>
      </c>
      <c r="B27" s="182" t="s">
        <v>334</v>
      </c>
      <c r="C27" s="45" t="s">
        <v>335</v>
      </c>
      <c r="D27" s="36" t="e" vm="73">
        <f>IFERROR(INDEX(WeeklyBossImg[Icon], MATCH(Weekly_Boss[[#This Row],[NameHelper]], WeeklyBossImg[Name], 0)), "")</f>
        <v>#VALUE!</v>
      </c>
      <c r="E27" s="154">
        <v>4.2</v>
      </c>
      <c r="F27" s="153">
        <f>SUMIF(WeeklyBoss[Material],Weekly_Boss[[#This Row],[Weekly Boss Material]],WeeklyBoss[Need to Farm])</f>
        <v>17</v>
      </c>
      <c r="G27" s="36">
        <f>IFERROR(INDEX(WeeklyBossInv[Quantity], MATCH(Weekly_Boss[[#This Row],[Weekly Boss Material]],WeeklyBossInv[Icon], 0)), "")</f>
        <v>15</v>
      </c>
      <c r="H27" s="36">
        <f t="shared" si="0"/>
        <v>2</v>
      </c>
      <c r="I27" s="215">
        <f t="shared" ref="I27" si="8">IF(SUMIF(H27:H29,"&gt;=0")&lt;=(ABS(SUMIF(H27:H29,"&lt;=0"))),IF((SUMIF(H27:H29,"&lt;=0"))&lt;=0,SUMIF(H27:H29,"&gt;=0"),0),ABS(SUMIF(H27:H29,"&lt;=0")))</f>
        <v>0</v>
      </c>
    </row>
    <row r="28" spans="1:9" ht="30" customHeight="1" x14ac:dyDescent="0.25">
      <c r="A28" s="153">
        <f>SUBTOTAL(3,$B$3:Weekly_Boss[[#This Row],[Weekly Boss]])</f>
        <v>26</v>
      </c>
      <c r="B28" s="182" t="s">
        <v>334</v>
      </c>
      <c r="C28" s="45" t="s">
        <v>345</v>
      </c>
      <c r="D28" s="36" t="e" vm="591">
        <f>IFERROR(INDEX(WeeklyBossImg[Icon], MATCH(Weekly_Boss[[#This Row],[NameHelper]], WeeklyBossImg[Name], 0)), "")</f>
        <v>#VALUE!</v>
      </c>
      <c r="E28" s="154">
        <v>4.2</v>
      </c>
      <c r="F28" s="153">
        <f>SUMIF(WeeklyBoss[Material],Weekly_Boss[[#This Row],[Weekly Boss Material]],WeeklyBoss[Need to Farm])</f>
        <v>18</v>
      </c>
      <c r="G28" s="36">
        <f>IFERROR(INDEX(WeeklyBossInv[Quantity], MATCH(Weekly_Boss[[#This Row],[Weekly Boss Material]],WeeklyBossInv[Icon], 0)), "")</f>
        <v>14</v>
      </c>
      <c r="H28" s="36">
        <f t="shared" si="0"/>
        <v>4</v>
      </c>
      <c r="I28" s="215"/>
    </row>
    <row r="29" spans="1:9" ht="30" customHeight="1" x14ac:dyDescent="0.25">
      <c r="A29" s="153">
        <f>SUBTOTAL(3,$B$3:Weekly_Boss[[#This Row],[Weekly Boss]])</f>
        <v>27</v>
      </c>
      <c r="B29" s="182" t="s">
        <v>334</v>
      </c>
      <c r="C29" s="45" t="s">
        <v>354</v>
      </c>
      <c r="D29" s="36" t="e" vm="114">
        <f>IFERROR(INDEX(WeeklyBossImg[Icon], MATCH(Weekly_Boss[[#This Row],[NameHelper]], WeeklyBossImg[Name], 0)), "")</f>
        <v>#VALUE!</v>
      </c>
      <c r="E29" s="154">
        <v>4.2</v>
      </c>
      <c r="F29" s="153">
        <f>SUMIF(WeeklyBoss[Material],Weekly_Boss[[#This Row],[Weekly Boss Material]],WeeklyBoss[Need to Farm])</f>
        <v>24</v>
      </c>
      <c r="G29" s="36">
        <f>IFERROR(INDEX(WeeklyBossInv[Quantity], MATCH(Weekly_Boss[[#This Row],[Weekly Boss Material]],WeeklyBossInv[Icon], 0)), "")</f>
        <v>10</v>
      </c>
      <c r="H29" s="36">
        <f t="shared" si="0"/>
        <v>14</v>
      </c>
      <c r="I29" s="215"/>
    </row>
    <row r="30" spans="1:9" ht="30" customHeight="1" x14ac:dyDescent="0.25">
      <c r="A30" s="153">
        <f>SUBTOTAL(3,$B$3:Weekly_Boss[[#This Row],[Weekly Boss]])</f>
        <v>28</v>
      </c>
      <c r="B30" s="182" t="s">
        <v>363</v>
      </c>
      <c r="C30" s="45" t="s">
        <v>364</v>
      </c>
      <c r="D30" s="36" t="e" vm="790">
        <f>IFERROR(INDEX(WeeklyBossImg[Icon], MATCH(Weekly_Boss[[#This Row],[NameHelper]], WeeklyBossImg[Name], 0)), "")</f>
        <v>#VALUE!</v>
      </c>
      <c r="E30" s="154">
        <v>4.5999999999999996</v>
      </c>
      <c r="F30" s="153">
        <f>SUMIF(WeeklyBoss[Material],Weekly_Boss[[#This Row],[Weekly Boss Material]],WeeklyBoss[Need to Farm])</f>
        <v>0</v>
      </c>
      <c r="G30" s="36">
        <f>IFERROR(INDEX(WeeklyBossInv[Quantity], MATCH(Weekly_Boss[[#This Row],[Weekly Boss Material]],WeeklyBossInv[Icon], 0)), "")</f>
        <v>2</v>
      </c>
      <c r="H30" s="36">
        <f t="shared" si="0"/>
        <v>-2</v>
      </c>
      <c r="I30" s="215">
        <f t="shared" ref="I30" si="9">IF(SUMIF(H30:H32,"&gt;=0")&lt;=(ABS(SUMIF(H30:H32,"&lt;=0"))),IF((SUMIF(H30:H32,"&lt;=0"))&lt;=0,SUMIF(H30:H32,"&gt;=0"),0),ABS(SUMIF(H30:H32,"&lt;=0")))</f>
        <v>3</v>
      </c>
    </row>
    <row r="31" spans="1:9" ht="30" customHeight="1" x14ac:dyDescent="0.25">
      <c r="A31" s="153">
        <f>SUBTOTAL(3,$B$3:Weekly_Boss[[#This Row],[Weekly Boss]])</f>
        <v>29</v>
      </c>
      <c r="B31" s="182" t="s">
        <v>363</v>
      </c>
      <c r="C31" s="45" t="s">
        <v>374</v>
      </c>
      <c r="D31" s="36" t="e" vm="792">
        <f>IFERROR(INDEX(WeeklyBossImg[Icon], MATCH(Weekly_Boss[[#This Row],[NameHelper]], WeeklyBossImg[Name], 0)), "")</f>
        <v>#VALUE!</v>
      </c>
      <c r="E31" s="154">
        <v>4.5999999999999996</v>
      </c>
      <c r="F31" s="153">
        <f>SUMIF(WeeklyBoss[Material],Weekly_Boss[[#This Row],[Weekly Boss Material]],WeeklyBoss[Need to Farm])</f>
        <v>0</v>
      </c>
      <c r="G31" s="36">
        <f>IFERROR(INDEX(WeeklyBossInv[Quantity], MATCH(Weekly_Boss[[#This Row],[Weekly Boss Material]],WeeklyBossInv[Icon], 0)), "")</f>
        <v>1</v>
      </c>
      <c r="H31" s="36">
        <f t="shared" si="0"/>
        <v>-1</v>
      </c>
      <c r="I31" s="215"/>
    </row>
    <row r="32" spans="1:9" ht="30" customHeight="1" thickBot="1" x14ac:dyDescent="0.3">
      <c r="A32" s="153">
        <f>SUBTOTAL(3,$B$3:Weekly_Boss[[#This Row],[Weekly Boss]])</f>
        <v>30</v>
      </c>
      <c r="B32" s="182" t="s">
        <v>363</v>
      </c>
      <c r="C32" s="45" t="s">
        <v>382</v>
      </c>
      <c r="D32" s="36" t="e" vm="548">
        <f>IFERROR(INDEX(WeeklyBossImg[Icon], MATCH(Weekly_Boss[[#This Row],[NameHelper]], WeeklyBossImg[Name], 0)), "")</f>
        <v>#VALUE!</v>
      </c>
      <c r="E32" s="154">
        <v>4.5999999999999996</v>
      </c>
      <c r="F32" s="159">
        <f>SUMIF(WeeklyBoss[Material],Weekly_Boss[[#This Row],[Weekly Boss Material]],WeeklyBoss[Need to Farm])</f>
        <v>4</v>
      </c>
      <c r="G32" s="160">
        <f>IFERROR(INDEX(WeeklyBossInv[Quantity], MATCH(Weekly_Boss[[#This Row],[Weekly Boss Material]],WeeklyBossInv[Icon], 0)), "")</f>
        <v>1</v>
      </c>
      <c r="H32" s="160">
        <f t="shared" si="0"/>
        <v>3</v>
      </c>
      <c r="I32" s="215"/>
    </row>
    <row r="33" spans="1:9" ht="16.5" thickBot="1" x14ac:dyDescent="0.3">
      <c r="A33" s="162" t="s">
        <v>706</v>
      </c>
      <c r="B33" s="163"/>
      <c r="C33" s="163"/>
      <c r="D33" s="163"/>
      <c r="E33" s="164"/>
      <c r="F33" s="162">
        <f>SUBTOTAL(109,Weekly_Boss[Need to Farm])</f>
        <v>981</v>
      </c>
      <c r="G33" s="163">
        <f>SUBTOTAL(109,Weekly_Boss[Acquired])</f>
        <v>402</v>
      </c>
      <c r="H33" s="163">
        <f>SUMIF(Weekly_Boss[Remaining],"&gt;=0")</f>
        <v>600</v>
      </c>
      <c r="I33" s="183">
        <f>SUMIF(I3:I32,"&gt;=0")</f>
        <v>21</v>
      </c>
    </row>
  </sheetData>
  <mergeCells count="11">
    <mergeCell ref="A1:H1"/>
    <mergeCell ref="I3:I5"/>
    <mergeCell ref="I6:I8"/>
    <mergeCell ref="I9:I11"/>
    <mergeCell ref="I27:I29"/>
    <mergeCell ref="I30:I32"/>
    <mergeCell ref="I12:I14"/>
    <mergeCell ref="I15:I17"/>
    <mergeCell ref="I18:I20"/>
    <mergeCell ref="I21:I23"/>
    <mergeCell ref="I24:I26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G46"/>
  <sheetViews>
    <sheetView workbookViewId="0">
      <selection activeCell="F9" sqref="F9"/>
    </sheetView>
  </sheetViews>
  <sheetFormatPr defaultColWidth="9.140625" defaultRowHeight="15.75" x14ac:dyDescent="0.25"/>
  <cols>
    <col min="1" max="1" width="9.140625" style="36" customWidth="1"/>
    <col min="2" max="2" width="17.42578125" style="36" bestFit="1" customWidth="1"/>
    <col min="3" max="3" width="23.85546875" style="36" hidden="1" customWidth="1"/>
    <col min="4" max="4" width="25" style="36" customWidth="1"/>
    <col min="5" max="7" width="14.28515625" style="36" customWidth="1"/>
    <col min="8" max="16384" width="9.140625" style="36"/>
  </cols>
  <sheetData>
    <row r="1" spans="1:7" ht="36" thickBot="1" x14ac:dyDescent="0.3">
      <c r="A1" s="216" t="s">
        <v>20</v>
      </c>
      <c r="B1" s="217"/>
      <c r="C1" s="217"/>
      <c r="D1" s="217"/>
      <c r="E1" s="217"/>
      <c r="F1" s="217"/>
      <c r="G1" s="218"/>
    </row>
    <row r="2" spans="1:7" s="43" customFormat="1" ht="30" customHeight="1" thickBot="1" x14ac:dyDescent="0.3">
      <c r="A2" s="184" t="s">
        <v>670</v>
      </c>
      <c r="B2" s="43" t="s">
        <v>788</v>
      </c>
      <c r="C2" s="43" t="s">
        <v>770</v>
      </c>
      <c r="D2" s="43" t="s">
        <v>771</v>
      </c>
      <c r="E2" s="150" t="s">
        <v>679</v>
      </c>
      <c r="F2" s="151" t="s">
        <v>844</v>
      </c>
      <c r="G2" s="152" t="s">
        <v>845</v>
      </c>
    </row>
    <row r="3" spans="1:7" ht="30" customHeight="1" x14ac:dyDescent="0.25">
      <c r="A3" s="153">
        <f>SUBTOTAL(3,$B$3:Ascension_Flower[[#This Row],[Specialty]])</f>
        <v>1</v>
      </c>
      <c r="B3" s="36" t="e" vm="227">
        <f>IFERROR(INDEX(LocalSpecialtiesImg[Icon], MATCH(Ascension_Flower[[#This Row],[HelperName]],LocalSpecialtiesImg[Name], 0)), "")</f>
        <v>#VALUE!</v>
      </c>
      <c r="C3" s="36" t="s">
        <v>89</v>
      </c>
      <c r="D3" s="185" t="s">
        <v>723</v>
      </c>
      <c r="E3" s="155">
        <f>SUMIF(LocalSpecialties3[Local Specialties],Ascension_Flower[[#This Row],[Specialty]],LocalSpecialties3[Need to Farm])</f>
        <v>165</v>
      </c>
      <c r="F3" s="156">
        <f>IFERROR(INDEX(LocalSpecialtiesInv[Quantity], MATCH(Ascension_Flower[[#This Row],[Specialty]], LocalSpecialtiesInv[Icon], 0)), "")</f>
        <v>178</v>
      </c>
      <c r="G3" s="157">
        <f>Ascension_Flower[[#This Row],[Need to Farm]]-Ascension_Flower[[#This Row],[Acquired]]</f>
        <v>-13</v>
      </c>
    </row>
    <row r="4" spans="1:7" ht="30" customHeight="1" x14ac:dyDescent="0.25">
      <c r="A4" s="153">
        <f>SUBTOTAL(3,$B$3:Ascension_Flower[[#This Row],[Specialty]])</f>
        <v>2</v>
      </c>
      <c r="B4" s="36" t="e" vm="561">
        <f>IFERROR(INDEX(LocalSpecialtiesImg[Icon], MATCH(Ascension_Flower[[#This Row],[HelperName]],LocalSpecialtiesImg[Name], 0)), "")</f>
        <v>#VALUE!</v>
      </c>
      <c r="C4" s="36" t="s">
        <v>101</v>
      </c>
      <c r="D4" s="185" t="s">
        <v>724</v>
      </c>
      <c r="E4" s="153">
        <f>SUMIF(LocalSpecialties3[Local Specialties],Ascension_Flower[[#This Row],[Specialty]],LocalSpecialties3[Need to Farm])</f>
        <v>0</v>
      </c>
      <c r="F4" s="36">
        <f>IFERROR(INDEX(LocalSpecialtiesInv[Quantity], MATCH(Ascension_Flower[[#This Row],[Specialty]], LocalSpecialtiesInv[Icon], 0)), "")</f>
        <v>6</v>
      </c>
      <c r="G4" s="158">
        <f>Ascension_Flower[[#This Row],[Need to Farm]]-Ascension_Flower[[#This Row],[Acquired]]</f>
        <v>-6</v>
      </c>
    </row>
    <row r="5" spans="1:7" ht="30" customHeight="1" x14ac:dyDescent="0.25">
      <c r="A5" s="153">
        <f>SUBTOTAL(3,$B$3:Ascension_Flower[[#This Row],[Specialty]])</f>
        <v>3</v>
      </c>
      <c r="B5" s="36" t="e" vm="168">
        <f>IFERROR(INDEX(LocalSpecialtiesImg[Icon], MATCH(Ascension_Flower[[#This Row],[HelperName]],LocalSpecialtiesImg[Name], 0)), "")</f>
        <v>#VALUE!</v>
      </c>
      <c r="C5" s="36" t="s">
        <v>114</v>
      </c>
      <c r="D5" s="185" t="s">
        <v>725</v>
      </c>
      <c r="E5" s="153">
        <f>SUMIF(LocalSpecialties3[Local Specialties],Ascension_Flower[[#This Row],[Specialty]],LocalSpecialties3[Need to Farm])</f>
        <v>320</v>
      </c>
      <c r="F5" s="36">
        <f>IFERROR(INDEX(LocalSpecialtiesInv[Quantity], MATCH(Ascension_Flower[[#This Row],[Specialty]], LocalSpecialtiesInv[Icon], 0)), "")</f>
        <v>190</v>
      </c>
      <c r="G5" s="158">
        <f>Ascension_Flower[[#This Row],[Need to Farm]]-Ascension_Flower[[#This Row],[Acquired]]</f>
        <v>130</v>
      </c>
    </row>
    <row r="6" spans="1:7" ht="30" customHeight="1" x14ac:dyDescent="0.25">
      <c r="A6" s="153">
        <f>SUBTOTAL(3,$B$3:Ascension_Flower[[#This Row],[Specialty]])</f>
        <v>4</v>
      </c>
      <c r="B6" s="36" t="e" vm="11">
        <f>IFERROR(INDEX(LocalSpecialtiesImg[Icon], MATCH(Ascension_Flower[[#This Row],[HelperName]],LocalSpecialtiesImg[Name], 0)), "")</f>
        <v>#VALUE!</v>
      </c>
      <c r="C6" s="36" t="s">
        <v>129</v>
      </c>
      <c r="D6" s="185" t="s">
        <v>129</v>
      </c>
      <c r="E6" s="153">
        <f>SUMIF(LocalSpecialties3[Local Specialties],Ascension_Flower[[#This Row],[Specialty]],LocalSpecialties3[Need to Farm])</f>
        <v>0</v>
      </c>
      <c r="F6" s="36">
        <f>IFERROR(INDEX(LocalSpecialtiesInv[Quantity], MATCH(Ascension_Flower[[#This Row],[Specialty]], LocalSpecialtiesInv[Icon], 0)), "")</f>
        <v>16</v>
      </c>
      <c r="G6" s="158">
        <f>Ascension_Flower[[#This Row],[Need to Farm]]-Ascension_Flower[[#This Row],[Acquired]]</f>
        <v>-16</v>
      </c>
    </row>
    <row r="7" spans="1:7" ht="30" customHeight="1" x14ac:dyDescent="0.25">
      <c r="A7" s="153">
        <f>SUBTOTAL(3,$B$3:Ascension_Flower[[#This Row],[Specialty]])</f>
        <v>5</v>
      </c>
      <c r="B7" s="36" t="e" vm="592">
        <f>IFERROR(INDEX(LocalSpecialtiesImg[Icon], MATCH(Ascension_Flower[[#This Row],[HelperName]],LocalSpecialtiesImg[Name], 0)), "")</f>
        <v>#VALUE!</v>
      </c>
      <c r="C7" s="36" t="s">
        <v>141</v>
      </c>
      <c r="D7" s="185" t="s">
        <v>726</v>
      </c>
      <c r="E7" s="153">
        <f>SUMIF(LocalSpecialties3[Local Specialties],Ascension_Flower[[#This Row],[Specialty]],LocalSpecialties3[Need to Farm])</f>
        <v>60</v>
      </c>
      <c r="F7" s="36">
        <f>IFERROR(INDEX(LocalSpecialtiesInv[Quantity], MATCH(Ascension_Flower[[#This Row],[Specialty]], LocalSpecialtiesInv[Icon], 0)), "")</f>
        <v>60</v>
      </c>
      <c r="G7" s="158">
        <f>Ascension_Flower[[#This Row],[Need to Farm]]-Ascension_Flower[[#This Row],[Acquired]]</f>
        <v>0</v>
      </c>
    </row>
    <row r="8" spans="1:7" ht="30" customHeight="1" x14ac:dyDescent="0.25">
      <c r="A8" s="153">
        <f>SUBTOTAL(3,$B$3:Ascension_Flower[[#This Row],[Specialty]])</f>
        <v>6</v>
      </c>
      <c r="B8" s="36" t="e" vm="213">
        <f>IFERROR(INDEX(LocalSpecialtiesImg[Icon], MATCH(Ascension_Flower[[#This Row],[HelperName]],LocalSpecialtiesImg[Name], 0)), "")</f>
        <v>#VALUE!</v>
      </c>
      <c r="C8" s="36" t="s">
        <v>153</v>
      </c>
      <c r="D8" s="185" t="s">
        <v>727</v>
      </c>
      <c r="E8" s="153">
        <f>SUMIF(LocalSpecialties3[Local Specialties],Ascension_Flower[[#This Row],[Specialty]],LocalSpecialties3[Need to Farm])</f>
        <v>270</v>
      </c>
      <c r="F8" s="36">
        <f>IFERROR(INDEX(LocalSpecialtiesInv[Quantity], MATCH(Ascension_Flower[[#This Row],[Specialty]], LocalSpecialtiesInv[Icon], 0)), "")</f>
        <v>49</v>
      </c>
      <c r="G8" s="158">
        <f>Ascension_Flower[[#This Row],[Need to Farm]]-Ascension_Flower[[#This Row],[Acquired]]</f>
        <v>221</v>
      </c>
    </row>
    <row r="9" spans="1:7" ht="30" customHeight="1" x14ac:dyDescent="0.25">
      <c r="A9" s="153">
        <f>SUBTOTAL(3,$B$3:Ascension_Flower[[#This Row],[Specialty]])</f>
        <v>7</v>
      </c>
      <c r="B9" s="36" t="e" vm="352">
        <f>IFERROR(INDEX(LocalSpecialtiesImg[Icon], MATCH(Ascension_Flower[[#This Row],[HelperName]],LocalSpecialtiesImg[Name], 0)), "")</f>
        <v>#VALUE!</v>
      </c>
      <c r="C9" s="36" t="s">
        <v>166</v>
      </c>
      <c r="D9" s="185" t="s">
        <v>728</v>
      </c>
      <c r="E9" s="153">
        <f>SUMIF(LocalSpecialties3[Local Specialties],Ascension_Flower[[#This Row],[Specialty]],LocalSpecialties3[Need to Farm])</f>
        <v>330</v>
      </c>
      <c r="F9" s="36">
        <f>IFERROR(INDEX(LocalSpecialtiesInv[Quantity], MATCH(Ascension_Flower[[#This Row],[Specialty]], LocalSpecialtiesInv[Icon], 0)), "")</f>
        <v>84</v>
      </c>
      <c r="G9" s="158">
        <f>Ascension_Flower[[#This Row],[Need to Farm]]-Ascension_Flower[[#This Row],[Acquired]]</f>
        <v>246</v>
      </c>
    </row>
    <row r="10" spans="1:7" ht="30" customHeight="1" x14ac:dyDescent="0.25">
      <c r="A10" s="153">
        <f>SUBTOTAL(3,$B$3:Ascension_Flower[[#This Row],[Specialty]])</f>
        <v>8</v>
      </c>
      <c r="B10" s="36" t="e" vm="134">
        <f>IFERROR(INDEX(LocalSpecialtiesImg[Icon], MATCH(Ascension_Flower[[#This Row],[HelperName]],LocalSpecialtiesImg[Name], 0)), "")</f>
        <v>#VALUE!</v>
      </c>
      <c r="C10" s="36" t="s">
        <v>177</v>
      </c>
      <c r="D10" s="185" t="s">
        <v>729</v>
      </c>
      <c r="E10" s="153">
        <f>SUMIF(LocalSpecialties3[Local Specialties],Ascension_Flower[[#This Row],[Specialty]],LocalSpecialties3[Need to Farm])</f>
        <v>165</v>
      </c>
      <c r="F10" s="36">
        <f>IFERROR(INDEX(LocalSpecialtiesInv[Quantity], MATCH(Ascension_Flower[[#This Row],[Specialty]], LocalSpecialtiesInv[Icon], 0)), "")</f>
        <v>24</v>
      </c>
      <c r="G10" s="158">
        <f>Ascension_Flower[[#This Row],[Need to Farm]]-Ascension_Flower[[#This Row],[Acquired]]</f>
        <v>141</v>
      </c>
    </row>
    <row r="11" spans="1:7" ht="30" customHeight="1" x14ac:dyDescent="0.25">
      <c r="A11" s="153">
        <f>SUBTOTAL(3,$B$3:Ascension_Flower[[#This Row],[Specialty]])</f>
        <v>9</v>
      </c>
      <c r="B11" s="36" t="e" vm="426">
        <f>IFERROR(INDEX(LocalSpecialtiesImg[Icon], MATCH(Ascension_Flower[[#This Row],[HelperName]],LocalSpecialtiesImg[Name], 0)), "")</f>
        <v>#VALUE!</v>
      </c>
      <c r="C11" s="36" t="s">
        <v>186</v>
      </c>
      <c r="D11" s="185" t="s">
        <v>186</v>
      </c>
      <c r="E11" s="153">
        <f>SUMIF(LocalSpecialties3[Local Specialties],Ascension_Flower[[#This Row],[Specialty]],LocalSpecialties3[Need to Farm])</f>
        <v>165</v>
      </c>
      <c r="F11" s="36">
        <f>IFERROR(INDEX(LocalSpecialtiesInv[Quantity], MATCH(Ascension_Flower[[#This Row],[Specialty]], LocalSpecialtiesInv[Icon], 0)), "")</f>
        <v>167</v>
      </c>
      <c r="G11" s="158">
        <f>Ascension_Flower[[#This Row],[Need to Farm]]-Ascension_Flower[[#This Row],[Acquired]]</f>
        <v>-2</v>
      </c>
    </row>
    <row r="12" spans="1:7" ht="30" customHeight="1" x14ac:dyDescent="0.25">
      <c r="A12" s="153">
        <f>SUBTOTAL(3,$B$3:Ascension_Flower[[#This Row],[Specialty]])</f>
        <v>10</v>
      </c>
      <c r="B12" s="36" t="e" vm="618">
        <f>IFERROR(INDEX(LocalSpecialtiesImg[Icon], MATCH(Ascension_Flower[[#This Row],[HelperName]],LocalSpecialtiesImg[Name], 0)), "")</f>
        <v>#VALUE!</v>
      </c>
      <c r="C12" s="36" t="s">
        <v>197</v>
      </c>
      <c r="D12" s="185" t="s">
        <v>730</v>
      </c>
      <c r="E12" s="153">
        <f>SUMIF(LocalSpecialties3[Local Specialties],Ascension_Flower[[#This Row],[Specialty]],LocalSpecialties3[Need to Farm])</f>
        <v>165</v>
      </c>
      <c r="F12" s="36">
        <f>IFERROR(INDEX(LocalSpecialtiesInv[Quantity], MATCH(Ascension_Flower[[#This Row],[Specialty]], LocalSpecialtiesInv[Icon], 0)), "")</f>
        <v>169</v>
      </c>
      <c r="G12" s="158">
        <f>Ascension_Flower[[#This Row],[Need to Farm]]-Ascension_Flower[[#This Row],[Acquired]]</f>
        <v>-4</v>
      </c>
    </row>
    <row r="13" spans="1:7" ht="30" customHeight="1" x14ac:dyDescent="0.25">
      <c r="A13" s="153">
        <f>SUBTOTAL(3,$B$3:Ascension_Flower[[#This Row],[Specialty]])</f>
        <v>11</v>
      </c>
      <c r="B13" s="36" t="e" vm="576">
        <f>IFERROR(INDEX(LocalSpecialtiesImg[Icon], MATCH(Ascension_Flower[[#This Row],[HelperName]],LocalSpecialtiesImg[Name], 0)), "")</f>
        <v>#VALUE!</v>
      </c>
      <c r="C13" s="36" t="s">
        <v>206</v>
      </c>
      <c r="D13" s="185" t="s">
        <v>731</v>
      </c>
      <c r="E13" s="153">
        <f>SUMIF(LocalSpecialties3[Local Specialties],Ascension_Flower[[#This Row],[Specialty]],LocalSpecialties3[Need to Farm])</f>
        <v>165</v>
      </c>
      <c r="F13" s="36">
        <f>IFERROR(INDEX(LocalSpecialtiesInv[Quantity], MATCH(Ascension_Flower[[#This Row],[Specialty]], LocalSpecialtiesInv[Icon], 0)), "")</f>
        <v>216</v>
      </c>
      <c r="G13" s="158">
        <f>Ascension_Flower[[#This Row],[Need to Farm]]-Ascension_Flower[[#This Row],[Acquired]]</f>
        <v>-51</v>
      </c>
    </row>
    <row r="14" spans="1:7" ht="30" customHeight="1" x14ac:dyDescent="0.25">
      <c r="A14" s="153">
        <f>SUBTOTAL(3,$B$3:Ascension_Flower[[#This Row],[Specialty]])</f>
        <v>12</v>
      </c>
      <c r="B14" s="36" t="e" vm="76">
        <f>IFERROR(INDEX(LocalSpecialtiesImg[Icon], MATCH(Ascension_Flower[[#This Row],[HelperName]],LocalSpecialtiesImg[Name], 0)), "")</f>
        <v>#VALUE!</v>
      </c>
      <c r="C14" s="36" t="s">
        <v>215</v>
      </c>
      <c r="D14" s="185" t="s">
        <v>732</v>
      </c>
      <c r="E14" s="153">
        <f>SUMIF(LocalSpecialties3[Local Specialties],Ascension_Flower[[#This Row],[Specialty]],LocalSpecialties3[Need to Farm])</f>
        <v>165</v>
      </c>
      <c r="F14" s="36">
        <f>IFERROR(INDEX(LocalSpecialtiesInv[Quantity], MATCH(Ascension_Flower[[#This Row],[Specialty]], LocalSpecialtiesInv[Icon], 0)), "")</f>
        <v>26</v>
      </c>
      <c r="G14" s="158">
        <f>Ascension_Flower[[#This Row],[Need to Farm]]-Ascension_Flower[[#This Row],[Acquired]]</f>
        <v>139</v>
      </c>
    </row>
    <row r="15" spans="1:7" ht="30" customHeight="1" x14ac:dyDescent="0.25">
      <c r="A15" s="153">
        <f>SUBTOTAL(3,$B$3:Ascension_Flower[[#This Row],[Specialty]])</f>
        <v>13</v>
      </c>
      <c r="B15" s="36" t="e" vm="621">
        <f>IFERROR(INDEX(LocalSpecialtiesImg[Icon], MATCH(Ascension_Flower[[#This Row],[HelperName]],LocalSpecialtiesImg[Name], 0)), "")</f>
        <v>#VALUE!</v>
      </c>
      <c r="C15" s="36" t="s">
        <v>226</v>
      </c>
      <c r="D15" s="185" t="s">
        <v>733</v>
      </c>
      <c r="E15" s="153">
        <f>SUMIF(LocalSpecialties3[Local Specialties],Ascension_Flower[[#This Row],[Specialty]],LocalSpecialties3[Need to Farm])</f>
        <v>165</v>
      </c>
      <c r="F15" s="36">
        <f>IFERROR(INDEX(LocalSpecialtiesInv[Quantity], MATCH(Ascension_Flower[[#This Row],[Specialty]], LocalSpecialtiesInv[Icon], 0)), "")</f>
        <v>171</v>
      </c>
      <c r="G15" s="158">
        <f>Ascension_Flower[[#This Row],[Need to Farm]]-Ascension_Flower[[#This Row],[Acquired]]</f>
        <v>-6</v>
      </c>
    </row>
    <row r="16" spans="1:7" ht="30" customHeight="1" x14ac:dyDescent="0.25">
      <c r="A16" s="153">
        <f>SUBTOTAL(3,$B$3:Ascension_Flower[[#This Row],[Specialty]])</f>
        <v>14</v>
      </c>
      <c r="B16" s="36" t="e" vm="507">
        <f>IFERROR(INDEX(LocalSpecialtiesImg[Icon], MATCH(Ascension_Flower[[#This Row],[HelperName]],LocalSpecialtiesImg[Name], 0)), "")</f>
        <v>#VALUE!</v>
      </c>
      <c r="C16" s="36" t="s">
        <v>235</v>
      </c>
      <c r="D16" s="185" t="s">
        <v>734</v>
      </c>
      <c r="E16" s="153">
        <f>SUMIF(LocalSpecialties3[Local Specialties],Ascension_Flower[[#This Row],[Specialty]],LocalSpecialties3[Need to Farm])</f>
        <v>135</v>
      </c>
      <c r="F16" s="36">
        <f>IFERROR(INDEX(LocalSpecialtiesInv[Quantity], MATCH(Ascension_Flower[[#This Row],[Specialty]], LocalSpecialtiesInv[Icon], 0)), "")</f>
        <v>12</v>
      </c>
      <c r="G16" s="158">
        <f>Ascension_Flower[[#This Row],[Need to Farm]]-Ascension_Flower[[#This Row],[Acquired]]</f>
        <v>123</v>
      </c>
    </row>
    <row r="17" spans="1:7" ht="30" customHeight="1" x14ac:dyDescent="0.25">
      <c r="A17" s="153">
        <f>SUBTOTAL(3,$B$3:Ascension_Flower[[#This Row],[Specialty]])</f>
        <v>15</v>
      </c>
      <c r="B17" s="36" t="e" vm="116">
        <f>IFERROR(INDEX(LocalSpecialtiesImg[Icon], MATCH(Ascension_Flower[[#This Row],[HelperName]],LocalSpecialtiesImg[Name], 0)), "")</f>
        <v>#VALUE!</v>
      </c>
      <c r="C17" s="36" t="s">
        <v>244</v>
      </c>
      <c r="D17" s="185" t="s">
        <v>735</v>
      </c>
      <c r="E17" s="153">
        <f>SUMIF(LocalSpecialties3[Local Specialties],Ascension_Flower[[#This Row],[Specialty]],LocalSpecialties3[Need to Farm])</f>
        <v>0</v>
      </c>
      <c r="F17" s="36">
        <f>IFERROR(INDEX(LocalSpecialtiesInv[Quantity], MATCH(Ascension_Flower[[#This Row],[Specialty]], LocalSpecialtiesInv[Icon], 0)), "")</f>
        <v>33</v>
      </c>
      <c r="G17" s="158">
        <f>Ascension_Flower[[#This Row],[Need to Farm]]-Ascension_Flower[[#This Row],[Acquired]]</f>
        <v>-33</v>
      </c>
    </row>
    <row r="18" spans="1:7" ht="30" customHeight="1" x14ac:dyDescent="0.25">
      <c r="A18" s="153">
        <f>SUBTOTAL(3,$B$3:Ascension_Flower[[#This Row],[Specialty]])</f>
        <v>16</v>
      </c>
      <c r="B18" s="36" t="e" vm="262">
        <f>IFERROR(INDEX(LocalSpecialtiesImg[Icon], MATCH(Ascension_Flower[[#This Row],[HelperName]],LocalSpecialtiesImg[Name], 0)), "")</f>
        <v>#VALUE!</v>
      </c>
      <c r="C18" s="36" t="s">
        <v>255</v>
      </c>
      <c r="D18" s="185" t="s">
        <v>736</v>
      </c>
      <c r="E18" s="153">
        <f>SUMIF(LocalSpecialties3[Local Specialties],Ascension_Flower[[#This Row],[Specialty]],LocalSpecialties3[Need to Farm])</f>
        <v>165</v>
      </c>
      <c r="F18" s="36">
        <f>IFERROR(INDEX(LocalSpecialtiesInv[Quantity], MATCH(Ascension_Flower[[#This Row],[Specialty]], LocalSpecialtiesInv[Icon], 0)), "")</f>
        <v>167</v>
      </c>
      <c r="G18" s="158">
        <f>Ascension_Flower[[#This Row],[Need to Farm]]-Ascension_Flower[[#This Row],[Acquired]]</f>
        <v>-2</v>
      </c>
    </row>
    <row r="19" spans="1:7" ht="30" customHeight="1" x14ac:dyDescent="0.25">
      <c r="A19" s="153">
        <f>SUBTOTAL(3,$B$3:Ascension_Flower[[#This Row],[Specialty]])</f>
        <v>17</v>
      </c>
      <c r="B19" s="36" t="e" vm="96">
        <f>IFERROR(INDEX(LocalSpecialtiesImg[Icon], MATCH(Ascension_Flower[[#This Row],[HelperName]],LocalSpecialtiesImg[Name], 0)), "")</f>
        <v>#VALUE!</v>
      </c>
      <c r="C19" s="36" t="s">
        <v>264</v>
      </c>
      <c r="D19" s="185" t="s">
        <v>264</v>
      </c>
      <c r="E19" s="153">
        <f>SUMIF(LocalSpecialties3[Local Specialties],Ascension_Flower[[#This Row],[Specialty]],LocalSpecialties3[Need to Farm])</f>
        <v>0</v>
      </c>
      <c r="F19" s="36">
        <f>IFERROR(INDEX(LocalSpecialtiesInv[Quantity], MATCH(Ascension_Flower[[#This Row],[Specialty]], LocalSpecialtiesInv[Icon], 0)), "")</f>
        <v>35</v>
      </c>
      <c r="G19" s="158">
        <f>Ascension_Flower[[#This Row],[Need to Farm]]-Ascension_Flower[[#This Row],[Acquired]]</f>
        <v>-35</v>
      </c>
    </row>
    <row r="20" spans="1:7" ht="30" customHeight="1" x14ac:dyDescent="0.25">
      <c r="A20" s="153">
        <f>SUBTOTAL(3,$B$3:Ascension_Flower[[#This Row],[Specialty]])</f>
        <v>18</v>
      </c>
      <c r="B20" s="36" t="e" vm="523">
        <f>IFERROR(INDEX(LocalSpecialtiesImg[Icon], MATCH(Ascension_Flower[[#This Row],[HelperName]],LocalSpecialtiesImg[Name], 0)), "")</f>
        <v>#VALUE!</v>
      </c>
      <c r="C20" s="36" t="s">
        <v>273</v>
      </c>
      <c r="D20" s="185" t="s">
        <v>737</v>
      </c>
      <c r="E20" s="153">
        <f>SUMIF(LocalSpecialties3[Local Specialties],Ascension_Flower[[#This Row],[Specialty]],LocalSpecialties3[Need to Farm])</f>
        <v>165</v>
      </c>
      <c r="F20" s="36">
        <f>IFERROR(INDEX(LocalSpecialtiesInv[Quantity], MATCH(Ascension_Flower[[#This Row],[Specialty]], LocalSpecialtiesInv[Icon], 0)), "")</f>
        <v>24</v>
      </c>
      <c r="G20" s="158">
        <f>Ascension_Flower[[#This Row],[Need to Farm]]-Ascension_Flower[[#This Row],[Acquired]]</f>
        <v>141</v>
      </c>
    </row>
    <row r="21" spans="1:7" ht="30" customHeight="1" x14ac:dyDescent="0.25">
      <c r="A21" s="153">
        <f>SUBTOTAL(3,$B$3:Ascension_Flower[[#This Row],[Specialty]])</f>
        <v>19</v>
      </c>
      <c r="B21" s="36" t="e" vm="241">
        <f>IFERROR(INDEX(LocalSpecialtiesImg[Icon], MATCH(Ascension_Flower[[#This Row],[HelperName]],LocalSpecialtiesImg[Name], 0)), "")</f>
        <v>#VALUE!</v>
      </c>
      <c r="C21" s="36" t="s">
        <v>283</v>
      </c>
      <c r="D21" s="185" t="s">
        <v>738</v>
      </c>
      <c r="E21" s="153">
        <f>SUMIF(LocalSpecialties3[Local Specialties],Ascension_Flower[[#This Row],[Specialty]],LocalSpecialties3[Need to Farm])</f>
        <v>0</v>
      </c>
      <c r="F21" s="36">
        <f>IFERROR(INDEX(LocalSpecialtiesInv[Quantity], MATCH(Ascension_Flower[[#This Row],[Specialty]], LocalSpecialtiesInv[Icon], 0)), "")</f>
        <v>71</v>
      </c>
      <c r="G21" s="158">
        <f>Ascension_Flower[[#This Row],[Need to Farm]]-Ascension_Flower[[#This Row],[Acquired]]</f>
        <v>-71</v>
      </c>
    </row>
    <row r="22" spans="1:7" ht="30" customHeight="1" x14ac:dyDescent="0.25">
      <c r="A22" s="153">
        <f>SUBTOTAL(3,$B$3:Ascension_Flower[[#This Row],[Specialty]])</f>
        <v>20</v>
      </c>
      <c r="B22" s="36" t="e" vm="251">
        <f>IFERROR(INDEX(LocalSpecialtiesImg[Icon], MATCH(Ascension_Flower[[#This Row],[HelperName]],LocalSpecialtiesImg[Name], 0)), "")</f>
        <v>#VALUE!</v>
      </c>
      <c r="C22" s="36" t="s">
        <v>292</v>
      </c>
      <c r="D22" s="185" t="s">
        <v>739</v>
      </c>
      <c r="E22" s="153">
        <f>SUMIF(LocalSpecialties3[Local Specialties],Ascension_Flower[[#This Row],[Specialty]],LocalSpecialties3[Need to Farm])</f>
        <v>165</v>
      </c>
      <c r="F22" s="36">
        <f>IFERROR(INDEX(LocalSpecialtiesInv[Quantity], MATCH(Ascension_Flower[[#This Row],[Specialty]], LocalSpecialtiesInv[Icon], 0)), "")</f>
        <v>6</v>
      </c>
      <c r="G22" s="158">
        <f>Ascension_Flower[[#This Row],[Need to Farm]]-Ascension_Flower[[#This Row],[Acquired]]</f>
        <v>159</v>
      </c>
    </row>
    <row r="23" spans="1:7" ht="30" customHeight="1" x14ac:dyDescent="0.25">
      <c r="A23" s="153">
        <f>SUBTOTAL(3,$B$3:Ascension_Flower[[#This Row],[Specialty]])</f>
        <v>21</v>
      </c>
      <c r="B23" s="36" t="e" vm="487">
        <f>IFERROR(INDEX(LocalSpecialtiesImg[Icon], MATCH(Ascension_Flower[[#This Row],[HelperName]],LocalSpecialtiesImg[Name], 0)), "")</f>
        <v>#VALUE!</v>
      </c>
      <c r="C23" s="36" t="s">
        <v>301</v>
      </c>
      <c r="D23" s="185" t="s">
        <v>740</v>
      </c>
      <c r="E23" s="153">
        <f>SUMIF(LocalSpecialties3[Local Specialties],Ascension_Flower[[#This Row],[Specialty]],LocalSpecialties3[Need to Farm])</f>
        <v>195</v>
      </c>
      <c r="F23" s="36">
        <f>IFERROR(INDEX(LocalSpecialtiesInv[Quantity], MATCH(Ascension_Flower[[#This Row],[Specialty]], LocalSpecialtiesInv[Icon], 0)), "")</f>
        <v>199</v>
      </c>
      <c r="G23" s="158">
        <f>Ascension_Flower[[#This Row],[Need to Farm]]-Ascension_Flower[[#This Row],[Acquired]]</f>
        <v>-4</v>
      </c>
    </row>
    <row r="24" spans="1:7" ht="30" customHeight="1" x14ac:dyDescent="0.25">
      <c r="A24" s="153">
        <f>SUBTOTAL(3,$B$3:Ascension_Flower[[#This Row],[Specialty]])</f>
        <v>22</v>
      </c>
      <c r="B24" s="36" t="e" vm="481">
        <f>IFERROR(INDEX(LocalSpecialtiesImg[Icon], MATCH(Ascension_Flower[[#This Row],[HelperName]],LocalSpecialtiesImg[Name], 0)), "")</f>
        <v>#VALUE!</v>
      </c>
      <c r="C24" s="36" t="s">
        <v>312</v>
      </c>
      <c r="D24" s="185" t="s">
        <v>312</v>
      </c>
      <c r="E24" s="153">
        <f>SUMIF(LocalSpecialties3[Local Specialties],Ascension_Flower[[#This Row],[Specialty]],LocalSpecialties3[Need to Farm])</f>
        <v>135</v>
      </c>
      <c r="F24" s="36">
        <f>IFERROR(INDEX(LocalSpecialtiesInv[Quantity], MATCH(Ascension_Flower[[#This Row],[Specialty]], LocalSpecialtiesInv[Icon], 0)), "")</f>
        <v>80</v>
      </c>
      <c r="G24" s="158">
        <f>Ascension_Flower[[#This Row],[Need to Farm]]-Ascension_Flower[[#This Row],[Acquired]]</f>
        <v>55</v>
      </c>
    </row>
    <row r="25" spans="1:7" ht="30" customHeight="1" x14ac:dyDescent="0.25">
      <c r="A25" s="153">
        <f>SUBTOTAL(3,$B$3:Ascension_Flower[[#This Row],[Specialty]])</f>
        <v>23</v>
      </c>
      <c r="B25" s="36" t="e" vm="273">
        <f>IFERROR(INDEX(LocalSpecialtiesImg[Icon], MATCH(Ascension_Flower[[#This Row],[HelperName]],LocalSpecialtiesImg[Name], 0)), "")</f>
        <v>#VALUE!</v>
      </c>
      <c r="C25" s="36" t="s">
        <v>321</v>
      </c>
      <c r="D25" s="185" t="s">
        <v>321</v>
      </c>
      <c r="E25" s="153">
        <f>SUMIF(LocalSpecialties3[Local Specialties],Ascension_Flower[[#This Row],[Specialty]],LocalSpecialties3[Need to Farm])</f>
        <v>0</v>
      </c>
      <c r="F25" s="36">
        <f>IFERROR(INDEX(LocalSpecialtiesInv[Quantity], MATCH(Ascension_Flower[[#This Row],[Specialty]], LocalSpecialtiesInv[Icon], 0)), "")</f>
        <v>69</v>
      </c>
      <c r="G25" s="158">
        <f>Ascension_Flower[[#This Row],[Need to Farm]]-Ascension_Flower[[#This Row],[Acquired]]</f>
        <v>-69</v>
      </c>
    </row>
    <row r="26" spans="1:7" ht="30" customHeight="1" x14ac:dyDescent="0.25">
      <c r="A26" s="153">
        <f>SUBTOTAL(3,$B$3:Ascension_Flower[[#This Row],[Specialty]])</f>
        <v>24</v>
      </c>
      <c r="B26" s="36" t="e" vm="556">
        <f>IFERROR(INDEX(LocalSpecialtiesImg[Icon], MATCH(Ascension_Flower[[#This Row],[HelperName]],LocalSpecialtiesImg[Name], 0)), "")</f>
        <v>#VALUE!</v>
      </c>
      <c r="C26" s="36" t="s">
        <v>329</v>
      </c>
      <c r="D26" s="185" t="s">
        <v>741</v>
      </c>
      <c r="E26" s="153">
        <f>SUMIF(LocalSpecialties3[Local Specialties],Ascension_Flower[[#This Row],[Specialty]],LocalSpecialties3[Need to Farm])</f>
        <v>0</v>
      </c>
      <c r="F26" s="36">
        <f>IFERROR(INDEX(LocalSpecialtiesInv[Quantity], MATCH(Ascension_Flower[[#This Row],[Specialty]], LocalSpecialtiesInv[Icon], 0)), "")</f>
        <v>7</v>
      </c>
      <c r="G26" s="158">
        <f>Ascension_Flower[[#This Row],[Need to Farm]]-Ascension_Flower[[#This Row],[Acquired]]</f>
        <v>-7</v>
      </c>
    </row>
    <row r="27" spans="1:7" ht="30" customHeight="1" x14ac:dyDescent="0.25">
      <c r="A27" s="153">
        <f>SUBTOTAL(3,$B$3:Ascension_Flower[[#This Row],[Specialty]])</f>
        <v>25</v>
      </c>
      <c r="B27" s="36" t="e" vm="409">
        <f>IFERROR(INDEX(LocalSpecialtiesImg[Icon], MATCH(Ascension_Flower[[#This Row],[HelperName]],LocalSpecialtiesImg[Name], 0)), "")</f>
        <v>#VALUE!</v>
      </c>
      <c r="C27" s="36" t="s">
        <v>339</v>
      </c>
      <c r="D27" s="185" t="s">
        <v>339</v>
      </c>
      <c r="E27" s="153">
        <f>SUMIF(LocalSpecialties3[Local Specialties],Ascension_Flower[[#This Row],[Specialty]],LocalSpecialties3[Need to Farm])</f>
        <v>0</v>
      </c>
      <c r="F27" s="36">
        <f>IFERROR(INDEX(LocalSpecialtiesInv[Quantity], MATCH(Ascension_Flower[[#This Row],[Specialty]], LocalSpecialtiesInv[Icon], 0)), "")</f>
        <v>113</v>
      </c>
      <c r="G27" s="158">
        <f>Ascension_Flower[[#This Row],[Need to Farm]]-Ascension_Flower[[#This Row],[Acquired]]</f>
        <v>-113</v>
      </c>
    </row>
    <row r="28" spans="1:7" ht="30" customHeight="1" x14ac:dyDescent="0.25">
      <c r="A28" s="153">
        <f>SUBTOTAL(3,$B$3:Ascension_Flower[[#This Row],[Specialty]])</f>
        <v>26</v>
      </c>
      <c r="B28" s="36" t="e" vm="436">
        <f>IFERROR(INDEX(LocalSpecialtiesImg[Icon], MATCH(Ascension_Flower[[#This Row],[HelperName]],LocalSpecialtiesImg[Name], 0)), "")</f>
        <v>#VALUE!</v>
      </c>
      <c r="C28" s="36" t="s">
        <v>348</v>
      </c>
      <c r="D28" s="185" t="s">
        <v>742</v>
      </c>
      <c r="E28" s="153">
        <f>SUMIF(LocalSpecialties3[Local Specialties],Ascension_Flower[[#This Row],[Specialty]],LocalSpecialties3[Need to Farm])</f>
        <v>0</v>
      </c>
      <c r="F28" s="36">
        <f>IFERROR(INDEX(LocalSpecialtiesInv[Quantity], MATCH(Ascension_Flower[[#This Row],[Specialty]], LocalSpecialtiesInv[Icon], 0)), "")</f>
        <v>6</v>
      </c>
      <c r="G28" s="158">
        <f>Ascension_Flower[[#This Row],[Need to Farm]]-Ascension_Flower[[#This Row],[Acquired]]</f>
        <v>-6</v>
      </c>
    </row>
    <row r="29" spans="1:7" ht="30" customHeight="1" x14ac:dyDescent="0.25">
      <c r="A29" s="153">
        <f>SUBTOTAL(3,$B$3:Ascension_Flower[[#This Row],[Specialty]])</f>
        <v>27</v>
      </c>
      <c r="B29" s="36" t="e" vm="515">
        <f>IFERROR(INDEX(LocalSpecialtiesImg[Icon], MATCH(Ascension_Flower[[#This Row],[HelperName]],LocalSpecialtiesImg[Name], 0)), "")</f>
        <v>#VALUE!</v>
      </c>
      <c r="C29" s="36" t="s">
        <v>357</v>
      </c>
      <c r="D29" s="185" t="s">
        <v>743</v>
      </c>
      <c r="E29" s="153">
        <f>SUMIF(LocalSpecialties3[Local Specialties],Ascension_Flower[[#This Row],[Specialty]],LocalSpecialties3[Need to Farm])</f>
        <v>165</v>
      </c>
      <c r="F29" s="36">
        <f>IFERROR(INDEX(LocalSpecialtiesInv[Quantity], MATCH(Ascension_Flower[[#This Row],[Specialty]], LocalSpecialtiesInv[Icon], 0)), "")</f>
        <v>112</v>
      </c>
      <c r="G29" s="158">
        <f>Ascension_Flower[[#This Row],[Need to Farm]]-Ascension_Flower[[#This Row],[Acquired]]</f>
        <v>53</v>
      </c>
    </row>
    <row r="30" spans="1:7" ht="30" customHeight="1" x14ac:dyDescent="0.25">
      <c r="A30" s="153">
        <f>SUBTOTAL(3,$B$3:Ascension_Flower[[#This Row],[Specialty]])</f>
        <v>28</v>
      </c>
      <c r="B30" s="36" t="e" vm="371">
        <f>IFERROR(INDEX(LocalSpecialtiesImg[Icon], MATCH(Ascension_Flower[[#This Row],[HelperName]],LocalSpecialtiesImg[Name], 0)), "")</f>
        <v>#VALUE!</v>
      </c>
      <c r="C30" s="36" t="s">
        <v>368</v>
      </c>
      <c r="D30" s="185" t="s">
        <v>744</v>
      </c>
      <c r="E30" s="153">
        <f>SUMIF(LocalSpecialties3[Local Specialties],Ascension_Flower[[#This Row],[Specialty]],LocalSpecialties3[Need to Farm])</f>
        <v>165</v>
      </c>
      <c r="F30" s="36">
        <f>IFERROR(INDEX(LocalSpecialtiesInv[Quantity], MATCH(Ascension_Flower[[#This Row],[Specialty]], LocalSpecialtiesInv[Icon], 0)), "")</f>
        <v>17</v>
      </c>
      <c r="G30" s="158">
        <f>Ascension_Flower[[#This Row],[Need to Farm]]-Ascension_Flower[[#This Row],[Acquired]]</f>
        <v>148</v>
      </c>
    </row>
    <row r="31" spans="1:7" ht="30" customHeight="1" x14ac:dyDescent="0.25">
      <c r="A31" s="153">
        <f>SUBTOTAL(3,$B$3:Ascension_Flower[[#This Row],[Specialty]])</f>
        <v>29</v>
      </c>
      <c r="B31" s="36" t="e" vm="185">
        <f>IFERROR(INDEX(LocalSpecialtiesImg[Icon], MATCH(Ascension_Flower[[#This Row],[HelperName]],LocalSpecialtiesImg[Name], 0)), "")</f>
        <v>#VALUE!</v>
      </c>
      <c r="C31" s="36" t="s">
        <v>377</v>
      </c>
      <c r="D31" s="185" t="s">
        <v>745</v>
      </c>
      <c r="E31" s="153">
        <f>SUMIF(LocalSpecialties3[Local Specialties],Ascension_Flower[[#This Row],[Specialty]],LocalSpecialties3[Need to Farm])</f>
        <v>0</v>
      </c>
      <c r="F31" s="36">
        <f>IFERROR(INDEX(LocalSpecialtiesInv[Quantity], MATCH(Ascension_Flower[[#This Row],[Specialty]], LocalSpecialtiesInv[Icon], 0)), "")</f>
        <v>17</v>
      </c>
      <c r="G31" s="158">
        <f>Ascension_Flower[[#This Row],[Need to Farm]]-Ascension_Flower[[#This Row],[Acquired]]</f>
        <v>-17</v>
      </c>
    </row>
    <row r="32" spans="1:7" ht="30" customHeight="1" x14ac:dyDescent="0.25">
      <c r="A32" s="153">
        <f>SUBTOTAL(3,$B$3:Ascension_Flower[[#This Row],[Specialty]])</f>
        <v>30</v>
      </c>
      <c r="B32" s="36" t="e" vm="33">
        <f>IFERROR(INDEX(LocalSpecialtiesImg[Icon], MATCH(Ascension_Flower[[#This Row],[HelperName]],LocalSpecialtiesImg[Name], 0)), "")</f>
        <v>#VALUE!</v>
      </c>
      <c r="C32" s="36" t="s">
        <v>385</v>
      </c>
      <c r="D32" s="185" t="s">
        <v>746</v>
      </c>
      <c r="E32" s="153">
        <f>SUMIF(LocalSpecialties3[Local Specialties],Ascension_Flower[[#This Row],[Specialty]],LocalSpecialties3[Need to Farm])</f>
        <v>168</v>
      </c>
      <c r="F32" s="36">
        <f>IFERROR(INDEX(LocalSpecialtiesInv[Quantity], MATCH(Ascension_Flower[[#This Row],[Specialty]], LocalSpecialtiesInv[Icon], 0)), "")</f>
        <v>42</v>
      </c>
      <c r="G32" s="158">
        <f>Ascension_Flower[[#This Row],[Need to Farm]]-Ascension_Flower[[#This Row],[Acquired]]</f>
        <v>126</v>
      </c>
    </row>
    <row r="33" spans="1:7" ht="30" customHeight="1" x14ac:dyDescent="0.25">
      <c r="A33" s="153">
        <f>SUBTOTAL(3,$B$3:Ascension_Flower[[#This Row],[Specialty]])</f>
        <v>31</v>
      </c>
      <c r="B33" s="36" t="e" vm="417">
        <f>IFERROR(INDEX(LocalSpecialtiesImg[Icon], MATCH(Ascension_Flower[[#This Row],[HelperName]],LocalSpecialtiesImg[Name], 0)), "")</f>
        <v>#VALUE!</v>
      </c>
      <c r="C33" s="36" t="s">
        <v>393</v>
      </c>
      <c r="D33" s="185" t="s">
        <v>747</v>
      </c>
      <c r="E33" s="153">
        <f>SUMIF(LocalSpecialties3[Local Specialties],Ascension_Flower[[#This Row],[Specialty]],LocalSpecialties3[Need to Farm])</f>
        <v>165</v>
      </c>
      <c r="F33" s="36">
        <f>IFERROR(INDEX(LocalSpecialtiesInv[Quantity], MATCH(Ascension_Flower[[#This Row],[Specialty]], LocalSpecialtiesInv[Icon], 0)), "")</f>
        <v>24</v>
      </c>
      <c r="G33" s="158">
        <f>Ascension_Flower[[#This Row],[Need to Farm]]-Ascension_Flower[[#This Row],[Acquired]]</f>
        <v>141</v>
      </c>
    </row>
    <row r="34" spans="1:7" ht="30" customHeight="1" x14ac:dyDescent="0.25">
      <c r="A34" s="153">
        <f>SUBTOTAL(3,$B$3:Ascension_Flower[[#This Row],[Specialty]])</f>
        <v>32</v>
      </c>
      <c r="B34" s="36" t="e" vm="605">
        <f>IFERROR(INDEX(LocalSpecialtiesImg[Icon], MATCH(Ascension_Flower[[#This Row],[HelperName]],LocalSpecialtiesImg[Name], 0)), "")</f>
        <v>#VALUE!</v>
      </c>
      <c r="C34" s="36" t="s">
        <v>399</v>
      </c>
      <c r="D34" s="185" t="s">
        <v>399</v>
      </c>
      <c r="E34" s="153">
        <f>SUMIF(LocalSpecialties3[Local Specialties],Ascension_Flower[[#This Row],[Specialty]],LocalSpecialties3[Need to Farm])</f>
        <v>0</v>
      </c>
      <c r="F34" s="36">
        <f>IFERROR(INDEX(LocalSpecialtiesInv[Quantity], MATCH(Ascension_Flower[[#This Row],[Specialty]], LocalSpecialtiesInv[Icon], 0)), "")</f>
        <v>60</v>
      </c>
      <c r="G34" s="158">
        <f>Ascension_Flower[[#This Row],[Need to Farm]]-Ascension_Flower[[#This Row],[Acquired]]</f>
        <v>-60</v>
      </c>
    </row>
    <row r="35" spans="1:7" ht="30" customHeight="1" x14ac:dyDescent="0.25">
      <c r="A35" s="153">
        <f>SUBTOTAL(3,$B$3:Ascension_Flower[[#This Row],[Specialty]])</f>
        <v>33</v>
      </c>
      <c r="B35" s="36" t="e" vm="152">
        <f>IFERROR(INDEX(LocalSpecialtiesImg[Icon], MATCH(Ascension_Flower[[#This Row],[HelperName]],LocalSpecialtiesImg[Name], 0)), "")</f>
        <v>#VALUE!</v>
      </c>
      <c r="C35" s="36" t="s">
        <v>405</v>
      </c>
      <c r="D35" s="185" t="s">
        <v>748</v>
      </c>
      <c r="E35" s="153">
        <f>SUMIF(LocalSpecialties3[Local Specialties],Ascension_Flower[[#This Row],[Specialty]],LocalSpecialties3[Need to Farm])</f>
        <v>0</v>
      </c>
      <c r="F35" s="36">
        <f>IFERROR(INDEX(LocalSpecialtiesInv[Quantity], MATCH(Ascension_Flower[[#This Row],[Specialty]], LocalSpecialtiesInv[Icon], 0)), "")</f>
        <v>278</v>
      </c>
      <c r="G35" s="158">
        <f>Ascension_Flower[[#This Row],[Need to Farm]]-Ascension_Flower[[#This Row],[Acquired]]</f>
        <v>-278</v>
      </c>
    </row>
    <row r="36" spans="1:7" ht="30" customHeight="1" x14ac:dyDescent="0.25">
      <c r="A36" s="153">
        <f>SUBTOTAL(3,$B$3:Ascension_Flower[[#This Row],[Specialty]])</f>
        <v>34</v>
      </c>
      <c r="B36" s="36" t="e" vm="339">
        <f>IFERROR(INDEX(LocalSpecialtiesImg[Icon], MATCH(Ascension_Flower[[#This Row],[HelperName]],LocalSpecialtiesImg[Name], 0)), "")</f>
        <v>#VALUE!</v>
      </c>
      <c r="C36" s="36" t="s">
        <v>412</v>
      </c>
      <c r="D36" s="185" t="s">
        <v>749</v>
      </c>
      <c r="E36" s="153">
        <f>SUMIF(LocalSpecialties3[Local Specialties],Ascension_Flower[[#This Row],[Specialty]],LocalSpecialties3[Need to Farm])</f>
        <v>0</v>
      </c>
      <c r="F36" s="36">
        <f>IFERROR(INDEX(LocalSpecialtiesInv[Quantity], MATCH(Ascension_Flower[[#This Row],[Specialty]], LocalSpecialtiesInv[Icon], 0)), "")</f>
        <v>516</v>
      </c>
      <c r="G36" s="158">
        <f>Ascension_Flower[[#This Row],[Need to Farm]]-Ascension_Flower[[#This Row],[Acquired]]</f>
        <v>-516</v>
      </c>
    </row>
    <row r="37" spans="1:7" ht="30" customHeight="1" x14ac:dyDescent="0.25">
      <c r="A37" s="153">
        <f>SUBTOTAL(3,$B$3:Ascension_Flower[[#This Row],[Specialty]])</f>
        <v>35</v>
      </c>
      <c r="B37" s="36" t="e" vm="361">
        <f>IFERROR(INDEX(LocalSpecialtiesImg[Icon], MATCH(Ascension_Flower[[#This Row],[HelperName]],LocalSpecialtiesImg[Name], 0)), "")</f>
        <v>#VALUE!</v>
      </c>
      <c r="C37" s="36" t="s">
        <v>418</v>
      </c>
      <c r="D37" s="185" t="s">
        <v>750</v>
      </c>
      <c r="E37" s="153">
        <f>SUMIF(LocalSpecialties3[Local Specialties],Ascension_Flower[[#This Row],[Specialty]],LocalSpecialties3[Need to Farm])</f>
        <v>300</v>
      </c>
      <c r="F37" s="36">
        <f>IFERROR(INDEX(LocalSpecialtiesInv[Quantity], MATCH(Ascension_Flower[[#This Row],[Specialty]], LocalSpecialtiesInv[Icon], 0)), "")</f>
        <v>50</v>
      </c>
      <c r="G37" s="158">
        <f>Ascension_Flower[[#This Row],[Need to Farm]]-Ascension_Flower[[#This Row],[Acquired]]</f>
        <v>250</v>
      </c>
    </row>
    <row r="38" spans="1:7" ht="30" customHeight="1" x14ac:dyDescent="0.25">
      <c r="A38" s="153">
        <f>SUBTOTAL(3,$B$3:Ascension_Flower[[#This Row],[Specialty]])</f>
        <v>36</v>
      </c>
      <c r="B38" s="36" t="e" vm="527">
        <f>IFERROR(INDEX(LocalSpecialtiesImg[Icon], MATCH(Ascension_Flower[[#This Row],[HelperName]],LocalSpecialtiesImg[Name], 0)), "")</f>
        <v>#VALUE!</v>
      </c>
      <c r="C38" s="36" t="s">
        <v>424</v>
      </c>
      <c r="D38" s="185" t="s">
        <v>751</v>
      </c>
      <c r="E38" s="153">
        <f>SUMIF(LocalSpecialties3[Local Specialties],Ascension_Flower[[#This Row],[Specialty]],LocalSpecialties3[Need to Farm])</f>
        <v>0</v>
      </c>
      <c r="F38" s="36">
        <f>IFERROR(INDEX(LocalSpecialtiesInv[Quantity], MATCH(Ascension_Flower[[#This Row],[Specialty]], LocalSpecialtiesInv[Icon], 0)), "")</f>
        <v>66</v>
      </c>
      <c r="G38" s="158">
        <f>Ascension_Flower[[#This Row],[Need to Farm]]-Ascension_Flower[[#This Row],[Acquired]]</f>
        <v>-66</v>
      </c>
    </row>
    <row r="39" spans="1:7" ht="30" customHeight="1" x14ac:dyDescent="0.25">
      <c r="A39" s="153">
        <f>SUBTOTAL(3,$B$3:Ascension_Flower[[#This Row],[Specialty]])</f>
        <v>37</v>
      </c>
      <c r="B39" s="36" t="e" vm="450">
        <f>IFERROR(INDEX(LocalSpecialtiesImg[Icon], MATCH(Ascension_Flower[[#This Row],[HelperName]],LocalSpecialtiesImg[Name], 0)), "")</f>
        <v>#VALUE!</v>
      </c>
      <c r="C39" s="36" t="s">
        <v>430</v>
      </c>
      <c r="D39" s="185" t="s">
        <v>430</v>
      </c>
      <c r="E39" s="153">
        <f>SUMIF(LocalSpecialties3[Local Specialties],Ascension_Flower[[#This Row],[Specialty]],LocalSpecialties3[Need to Farm])</f>
        <v>165</v>
      </c>
      <c r="F39" s="36">
        <f>IFERROR(INDEX(LocalSpecialtiesInv[Quantity], MATCH(Ascension_Flower[[#This Row],[Specialty]], LocalSpecialtiesInv[Icon], 0)), "")</f>
        <v>34</v>
      </c>
      <c r="G39" s="158">
        <f>Ascension_Flower[[#This Row],[Need to Farm]]-Ascension_Flower[[#This Row],[Acquired]]</f>
        <v>131</v>
      </c>
    </row>
    <row r="40" spans="1:7" ht="30" customHeight="1" x14ac:dyDescent="0.25">
      <c r="A40" s="153">
        <f>SUBTOTAL(3,$B$3:Ascension_Flower[[#This Row],[Specialty]])</f>
        <v>38</v>
      </c>
      <c r="B40" s="36" t="e" vm="588">
        <f>IFERROR(INDEX(LocalSpecialtiesImg[Icon], MATCH(Ascension_Flower[[#This Row],[HelperName]],LocalSpecialtiesImg[Name], 0)), "")</f>
        <v>#VALUE!</v>
      </c>
      <c r="C40" s="36" t="s">
        <v>436</v>
      </c>
      <c r="D40" s="185" t="s">
        <v>752</v>
      </c>
      <c r="E40" s="153">
        <f>SUMIF(LocalSpecialties3[Local Specialties],Ascension_Flower[[#This Row],[Specialty]],LocalSpecialties3[Need to Farm])</f>
        <v>0</v>
      </c>
      <c r="F40" s="36">
        <f>IFERROR(INDEX(LocalSpecialtiesInv[Quantity], MATCH(Ascension_Flower[[#This Row],[Specialty]], LocalSpecialtiesInv[Icon], 0)), "")</f>
        <v>60</v>
      </c>
      <c r="G40" s="158">
        <f>Ascension_Flower[[#This Row],[Need to Farm]]-Ascension_Flower[[#This Row],[Acquired]]</f>
        <v>-60</v>
      </c>
    </row>
    <row r="41" spans="1:7" ht="30" customHeight="1" x14ac:dyDescent="0.25">
      <c r="A41" s="153">
        <f>SUBTOTAL(3,$B$3:Ascension_Flower[[#This Row],[Specialty]])</f>
        <v>39</v>
      </c>
      <c r="B41" s="36" t="e" vm="444">
        <f>IFERROR(INDEX(LocalSpecialtiesImg[Icon], MATCH(Ascension_Flower[[#This Row],[HelperName]],LocalSpecialtiesImg[Name], 0)), "")</f>
        <v>#VALUE!</v>
      </c>
      <c r="C41" s="36" t="s">
        <v>41</v>
      </c>
      <c r="D41" s="185" t="s">
        <v>41</v>
      </c>
      <c r="E41" s="153">
        <f>SUMIF(LocalSpecialties3[Local Specialties],Ascension_Flower[[#This Row],[Specialty]],LocalSpecialties3[Need to Farm])</f>
        <v>0</v>
      </c>
      <c r="F41" s="36">
        <f>IFERROR(INDEX(LocalSpecialtiesInv[Quantity], MATCH(Ascension_Flower[[#This Row],[Specialty]], LocalSpecialtiesInv[Icon], 0)), "")</f>
        <v>15</v>
      </c>
      <c r="G41" s="158">
        <f>Ascension_Flower[[#This Row],[Need to Farm]]-Ascension_Flower[[#This Row],[Acquired]]</f>
        <v>-15</v>
      </c>
    </row>
    <row r="42" spans="1:7" ht="30" customHeight="1" x14ac:dyDescent="0.25">
      <c r="A42" s="153">
        <f>SUBTOTAL(3,$B$3:Ascension_Flower[[#This Row],[Specialty]])</f>
        <v>40</v>
      </c>
      <c r="B42" s="36" t="e" vm="532">
        <f>IFERROR(INDEX(LocalSpecialtiesImg[Icon], MATCH(Ascension_Flower[[#This Row],[HelperName]],LocalSpecialtiesImg[Name], 0)), "")</f>
        <v>#VALUE!</v>
      </c>
      <c r="C42" s="36" t="s">
        <v>446</v>
      </c>
      <c r="D42" s="185" t="s">
        <v>446</v>
      </c>
      <c r="E42" s="153">
        <f>SUMIF(LocalSpecialties3[Local Specialties],Ascension_Flower[[#This Row],[Specialty]],LocalSpecialties3[Need to Farm])</f>
        <v>270</v>
      </c>
      <c r="F42" s="36">
        <f>IFERROR(INDEX(LocalSpecialtiesInv[Quantity], MATCH(Ascension_Flower[[#This Row],[Specialty]], LocalSpecialtiesInv[Icon], 0)), "")</f>
        <v>507</v>
      </c>
      <c r="G42" s="158">
        <f>Ascension_Flower[[#This Row],[Need to Farm]]-Ascension_Flower[[#This Row],[Acquired]]</f>
        <v>-237</v>
      </c>
    </row>
    <row r="43" spans="1:7" ht="30" customHeight="1" x14ac:dyDescent="0.25">
      <c r="A43" s="153">
        <f>SUBTOTAL(3,$B$3:Ascension_Flower[[#This Row],[Specialty]])</f>
        <v>41</v>
      </c>
      <c r="B43" s="36" t="e" vm="283">
        <f>IFERROR(INDEX(LocalSpecialtiesImg[Icon], MATCH(Ascension_Flower[[#This Row],[HelperName]],LocalSpecialtiesImg[Name], 0)), "")</f>
        <v>#VALUE!</v>
      </c>
      <c r="C43" s="36" t="s">
        <v>451</v>
      </c>
      <c r="D43" s="185" t="s">
        <v>451</v>
      </c>
      <c r="E43" s="153">
        <f>SUMIF(LocalSpecialties3[Local Specialties],Ascension_Flower[[#This Row],[Specialty]],LocalSpecialties3[Need to Farm])</f>
        <v>225</v>
      </c>
      <c r="F43" s="36">
        <f>IFERROR(INDEX(LocalSpecialtiesInv[Quantity], MATCH(Ascension_Flower[[#This Row],[Specialty]], LocalSpecialtiesInv[Icon], 0)), "")</f>
        <v>45</v>
      </c>
      <c r="G43" s="158">
        <f>Ascension_Flower[[#This Row],[Need to Farm]]-Ascension_Flower[[#This Row],[Acquired]]</f>
        <v>180</v>
      </c>
    </row>
    <row r="44" spans="1:7" ht="30" customHeight="1" x14ac:dyDescent="0.25">
      <c r="A44" s="153">
        <f>SUBTOTAL(3,$B$3:Ascension_Flower[[#This Row],[Specialty]])</f>
        <v>42</v>
      </c>
      <c r="B44" s="36" t="e" vm="55">
        <f>IFERROR(INDEX(LocalSpecialtiesImg[Icon], MATCH(Ascension_Flower[[#This Row],[HelperName]],LocalSpecialtiesImg[Name], 0)), "")</f>
        <v>#VALUE!</v>
      </c>
      <c r="C44" s="36" t="s">
        <v>456</v>
      </c>
      <c r="D44" s="185" t="s">
        <v>753</v>
      </c>
      <c r="E44" s="153">
        <f>SUMIF(LocalSpecialties3[Local Specialties],Ascension_Flower[[#This Row],[Specialty]],LocalSpecialties3[Need to Farm])</f>
        <v>0</v>
      </c>
      <c r="F44" s="36">
        <f>IFERROR(INDEX(LocalSpecialtiesInv[Quantity], MATCH(Ascension_Flower[[#This Row],[Specialty]], LocalSpecialtiesInv[Icon], 0)), "")</f>
        <v>97</v>
      </c>
      <c r="G44" s="158">
        <f>Ascension_Flower[[#This Row],[Need to Farm]]-Ascension_Flower[[#This Row],[Acquired]]</f>
        <v>-97</v>
      </c>
    </row>
    <row r="45" spans="1:7" ht="30" customHeight="1" thickBot="1" x14ac:dyDescent="0.3">
      <c r="A45" s="153">
        <f>SUBTOTAL(3,$B$3:Ascension_Flower[[#This Row],[Specialty]])</f>
        <v>43</v>
      </c>
      <c r="B45" s="36" t="e" vm="536">
        <f>IFERROR(INDEX(LocalSpecialtiesImg[Icon], MATCH(Ascension_Flower[[#This Row],[HelperName]],LocalSpecialtiesImg[Name], 0)), "")</f>
        <v>#VALUE!</v>
      </c>
      <c r="C45" s="36" t="s">
        <v>461</v>
      </c>
      <c r="D45" s="185" t="s">
        <v>461</v>
      </c>
      <c r="E45" s="159">
        <f>SUMIF(LocalSpecialties3[Local Specialties],Ascension_Flower[[#This Row],[Specialty]],LocalSpecialties3[Need to Farm])</f>
        <v>195</v>
      </c>
      <c r="F45" s="160">
        <f>IFERROR(INDEX(LocalSpecialtiesInv[Quantity], MATCH(Ascension_Flower[[#This Row],[Specialty]], LocalSpecialtiesInv[Icon], 0)), "")</f>
        <v>68</v>
      </c>
      <c r="G45" s="161">
        <f>Ascension_Flower[[#This Row],[Need to Farm]]-Ascension_Flower[[#This Row],[Acquired]]</f>
        <v>127</v>
      </c>
    </row>
    <row r="46" spans="1:7" ht="16.5" thickBot="1" x14ac:dyDescent="0.3">
      <c r="A46" s="162" t="s">
        <v>706</v>
      </c>
      <c r="B46" s="163"/>
      <c r="C46" s="163"/>
      <c r="D46" s="163"/>
      <c r="E46" s="162">
        <f>SUBTOTAL(109,Ascension_Flower[Need to Farm])</f>
        <v>4913</v>
      </c>
      <c r="F46" s="163">
        <f>SUBTOTAL(109,Ascension_Flower[Acquired])</f>
        <v>4186</v>
      </c>
      <c r="G46" s="164">
        <f>SUMIF(Ascension_Flower[Remaining],"&gt;=0")</f>
        <v>2511</v>
      </c>
    </row>
  </sheetData>
  <mergeCells count="1">
    <mergeCell ref="A1:G1"/>
  </mergeCells>
  <phoneticPr fontId="3" type="noConversion"/>
  <dataValidations count="1">
    <dataValidation type="whole" operator="greaterThanOrEqual" allowBlank="1" showInputMessage="1" showErrorMessage="1" errorTitle="Numeric Values Only!" error="Please put numeric values only." sqref="F3:F45" xr:uid="{EBF81312-3930-4672-AA47-C1B54462CE25}">
      <formula1>0</formula1>
    </dataValidation>
  </dataValidations>
  <hyperlinks>
    <hyperlink ref="D9" r:id="rId1" location="/map/2?center=5962.23,1682.92&amp;zoom=-1.00&amp;shown_types=211" xr:uid="{B2DADD27-4238-49CB-9AB1-06B5135FDA40}"/>
    <hyperlink ref="D37" r:id="rId2" location="/map/2?center=190.50,82.00&amp;zoom=-1.00&amp;shown_types=33" xr:uid="{CBAE9875-8B3A-46C0-97FD-1F77FADBB9C4}"/>
    <hyperlink ref="D8" r:id="rId3" location="/map/2?center=1802.30,-1305.93&amp;zoom=-2.00&amp;shown_types=40" xr:uid="{65EFFDB6-D5D5-48EB-A53F-68C5038BB396}"/>
    <hyperlink ref="D43" r:id="rId4" location="/map/2?center=1802.30,-1305.93&amp;zoom=-2.00&amp;shown_types=34" xr:uid="{0D4B15F5-891D-4434-A43A-CEDF71083093}"/>
    <hyperlink ref="D22" r:id="rId5" location="/map/2?center=3176.01,-3713.00&amp;zoom=-1.00&amp;shown_types=400" xr:uid="{ABCD0D6D-697B-4CD5-912D-99FF40F0E2E4}"/>
    <hyperlink ref="D33" r:id="rId6" location="/map/2?center=6056.61,32.66&amp;zoom=0.50&amp;shown_types=227" xr:uid="{9D986944-CCE3-4E01-9EEA-1DDE638C327F}"/>
    <hyperlink ref="D30" r:id="rId7" location="/map/2?center=3046.24,-4006.00&amp;zoom=-2.00&amp;shown_types=402" xr:uid="{A5020A6B-DA5F-4A14-AF77-B4618F42B5FB}"/>
    <hyperlink ref="D14" r:id="rId8" location="/map/2?center=3781.66,-6018.13&amp;zoom=-2.00&amp;shown_types=431" xr:uid="{15768414-2F7A-495C-AEEB-AB68A7E5889A}"/>
    <hyperlink ref="D20" r:id="rId9" location="/map/2?center=1563.70,-6866.07&amp;zoom=-1.00&amp;shown_types=469" xr:uid="{B80C3D06-FD00-419C-A99E-9796A346F398}"/>
    <hyperlink ref="D39" r:id="rId10" location="/map/2?center=2061.98,-290.97&amp;zoom=-1.00&amp;shown_types=78" xr:uid="{6B7262AE-3F18-45D0-8CFC-FBACDBC91388}"/>
    <hyperlink ref="D10" r:id="rId11" location="/map/2?center=181.20,-172.96&amp;zoom=-1.00&amp;shown_types=37" xr:uid="{8382FBE0-9EDD-4BDA-82B3-007D19687740}"/>
    <hyperlink ref="D45" r:id="rId12" location="/map/2?center=254.44,-423.51&amp;zoom=1.00&amp;shown_types=41" xr:uid="{9ABFE417-6429-4F5C-9D46-F7BF12C60335}"/>
    <hyperlink ref="D16" r:id="rId13" location="/map/2?center=2975.68,-4528.15&amp;zoom=-2.00&amp;shown_types=401" xr:uid="{EDD14987-AD08-4DB4-9A80-C60366E2766A}"/>
    <hyperlink ref="D5" r:id="rId14" location="/map/2?center=217.97,-233.00&amp;zoom=-1.00&amp;shown_types=31" xr:uid="{E4DBDFE1-D569-457E-ABC0-C43A3DD0E978}"/>
    <hyperlink ref="D29" r:id="rId15" location="/map/2?center=-1286.77,-5306.16&amp;zoom=-2.00&amp;shown_types=501" xr:uid="{29B57709-6B5C-4020-8358-D7322F21CE20}"/>
    <hyperlink ref="D24" r:id="rId16" location="/map/2?center=6150.26,2478.02&amp;zoom=-2.00&amp;shown_types=196" xr:uid="{48D3C0F8-26CE-4B82-A7A6-D60F5B239F1D}"/>
    <hyperlink ref="D18" r:id="rId17" location="/map/2?center=-694.03,-5230.68&amp;zoom=-1.50&amp;shown_types=502" xr:uid="{986C7726-4D27-4876-AA83-319D6DE49DD8}"/>
    <hyperlink ref="D11" r:id="rId18" location="/map/2?center=5816.98,1761.90&amp;zoom=-0.50&amp;shown_types=198" xr:uid="{458DE732-84CE-4C75-832D-065BC5A02A81}"/>
    <hyperlink ref="D7" r:id="rId19" location="/map/2?center=176.71,-3225.43&amp;zoom=-1.50&amp;shown_types=566" xr:uid="{769ACDA5-8941-43F2-801B-EFE8ED12C426}"/>
    <hyperlink ref="D12" r:id="rId20" location="/map/2?center=8522.93,1825.50&amp;zoom=0.00&amp;shown_types=266" xr:uid="{1992B751-4D09-4736-83BE-83895D39939D}"/>
    <hyperlink ref="D23" r:id="rId21" location="/map/2?center=1765.60,-1854.00&amp;zoom=-2.00&amp;shown_types=42" xr:uid="{5E981DAF-9218-4AE1-B52A-5B324847DB4A}"/>
    <hyperlink ref="D41" r:id="rId22" location="/map/2?center=1631.84,-7113.01&amp;zoom=-1.00&amp;shown_types=468" xr:uid="{3A9E850C-4AAA-4E34-8F15-378C668046D2}"/>
    <hyperlink ref="D4" r:id="rId23" location="/map/2?center=-837.74,-5465.99&amp;zoom=-2.00&amp;shown_types=500" xr:uid="{A4F0F00E-0743-4DF3-BB35-C4A7BD2D16A4}"/>
    <hyperlink ref="D15" r:id="rId24" location="/map/2?center=1417.93,-2029.03&amp;zoom=-1.00&amp;shown_types=30" xr:uid="{8ECEDC10-2279-4D66-8F48-4FC8C666EF7C}"/>
    <hyperlink ref="D26" r:id="rId25" location="/map/2?center=325.99,-98.50&amp;zoom=0.00&amp;shown_types=39" xr:uid="{2E84AE05-68B3-4D64-807A-F425E4B0FC94}"/>
    <hyperlink ref="D3" r:id="rId26" location="/map/2?center=6942.89,3456.49&amp;zoom=0.00&amp;shown_types=228" xr:uid="{07385574-BD8C-4C4B-8938-FB8A770C18B8}"/>
    <hyperlink ref="D6" r:id="rId27" location="/map/2?center=-184.75,970.37&amp;zoom=2.00&amp;shown_types=35" xr:uid="{A922599C-3FDB-4724-8822-4A33B5FE902E}"/>
    <hyperlink ref="D31" r:id="rId28" location="/map/2?center=5009.16,3652.48&amp;zoom=0.00&amp;shown_types=199" xr:uid="{C1F2BAAE-9112-4D46-9C4E-68E7CFD4D02F}"/>
    <hyperlink ref="D19" r:id="rId29" location="/map/2?center=-2351.95,-5220.51&amp;zoom=0.00&amp;shown_types=545" xr:uid="{DEFF1D5E-7A2E-4029-9C56-E0E7E24DEC9D}"/>
    <hyperlink ref="D17" r:id="rId30" location="/map/2?center=-1351.89,-4091.52&amp;zoom=0.00&amp;shown_types=548" xr:uid="{75BF463F-B2B1-4B09-AB73-5377B1506AD0}"/>
    <hyperlink ref="D32" r:id="rId31" location="/map/2?center=3210.97,-6031.50&amp;zoom=0.00&amp;shown_types=462" xr:uid="{469FC01A-5A0A-49DD-8D5F-271D4F34783A}"/>
    <hyperlink ref="D40" r:id="rId32" location="/map/2?center=-2377.01,-5216.50&amp;zoom=0.00&amp;shown_types=546" xr:uid="{B0917D66-6BB3-47B8-8918-8438ACC468CF}"/>
    <hyperlink ref="D21" r:id="rId33" location="/map/2?center=6081.86,2638.01&amp;zoom=-2.00&amp;shown_types=197" xr:uid="{CC87F482-3FA9-4BD3-9847-1477F2301870}"/>
    <hyperlink ref="D28" r:id="rId34" location="/map/2?center=-1353.91,-4902.00&amp;zoom=-2.00&amp;shown_types=503" xr:uid="{A178BB9D-29E0-4D14-BD88-1C86708823EF}"/>
    <hyperlink ref="D38" r:id="rId35" location="/map/2?center=-333.52,-4380.75&amp;zoom=1.00&amp;shown_types=549" xr:uid="{DDBCF1D8-A1AF-43FF-989D-60DBEF43E88D}"/>
    <hyperlink ref="D34" r:id="rId36" location="/map/2?center=4468.01,-5707.00&amp;zoom=-1.00&amp;shown_types=430" xr:uid="{BED53B90-E262-4953-A913-93F582DCE90D}"/>
    <hyperlink ref="D13" r:id="rId37" location="/map/2?center=1422.17,-2042.00&amp;zoom=-2.00&amp;shown_types=38" xr:uid="{530CEE86-1FB8-4931-8BC3-5AB47E8EAE5A}"/>
    <hyperlink ref="D25" r:id="rId38" location="/map/2?center=2834.12,-4086.99&amp;zoom=-1.00&amp;shown_types=413" xr:uid="{B2F9406E-0160-4319-BB77-D808E41B39F5}"/>
    <hyperlink ref="D44" r:id="rId39" location="/map/2?center=151.00,-228.77&amp;zoom=-1.00&amp;shown_types=43,28" xr:uid="{7F02922F-0CC9-49D7-8881-4833341F3052}"/>
    <hyperlink ref="D27" r:id="rId40" location="/map/2?center=1358.00,-2145.97&amp;zoom=-2.00&amp;shown_types=32" xr:uid="{8FCB006A-0981-4916-8BDE-BC58E89151A6}"/>
    <hyperlink ref="D42" r:id="rId41" location="/map/2?center=-536.91,541.50&amp;zoom=0.00&amp;shown_types=29" xr:uid="{B671FEF7-0915-422A-868C-D0EE00B434DA}"/>
    <hyperlink ref="D35" r:id="rId42" location="/map/2?center=6033.81,1008.00&amp;zoom=-3.00&amp;shown_types=185" xr:uid="{B9BA11E3-9D49-454B-ACC5-126C73D49231}"/>
    <hyperlink ref="D36" r:id="rId43" location="/map/2?center=1537.42,-1388.12&amp;zoom=-2.00&amp;shown_types=36" xr:uid="{D0B2E912-CF9D-4BCA-BA2B-DE0D737DA267}"/>
  </hyperlinks>
  <pageMargins left="0.7" right="0.7" top="0.75" bottom="0.75" header="0.3" footer="0.3"/>
  <tableParts count="1">
    <tablePart r:id="rId4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B92E-0CFB-4946-BAB5-075B2D3AD151}">
  <sheetPr codeName="Sheet12">
    <tabColor rgb="FFFFC000"/>
  </sheetPr>
  <dimension ref="A1:Z22"/>
  <sheetViews>
    <sheetView workbookViewId="0">
      <selection activeCell="Z12" sqref="Z12"/>
    </sheetView>
  </sheetViews>
  <sheetFormatPr defaultColWidth="9.140625" defaultRowHeight="15.75" x14ac:dyDescent="0.25"/>
  <cols>
    <col min="1" max="1" width="9.140625" style="36" customWidth="1"/>
    <col min="2" max="2" width="25.28515625" style="36" hidden="1" customWidth="1"/>
    <col min="3" max="26" width="7.140625" style="36" customWidth="1"/>
    <col min="27" max="16384" width="9.140625" style="36"/>
  </cols>
  <sheetData>
    <row r="1" spans="1:26" ht="36" thickBot="1" x14ac:dyDescent="0.3">
      <c r="A1" s="216" t="s">
        <v>666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8"/>
    </row>
    <row r="2" spans="1:26" x14ac:dyDescent="0.25">
      <c r="A2" s="190" t="s">
        <v>670</v>
      </c>
      <c r="B2" s="168"/>
      <c r="C2" s="219" t="s">
        <v>679</v>
      </c>
      <c r="D2" s="199"/>
      <c r="E2" s="199"/>
      <c r="F2" s="199"/>
      <c r="G2" s="199"/>
      <c r="H2" s="199"/>
      <c r="I2" s="199"/>
      <c r="J2" s="220"/>
      <c r="K2" s="219" t="s">
        <v>721</v>
      </c>
      <c r="L2" s="199"/>
      <c r="M2" s="199"/>
      <c r="N2" s="199"/>
      <c r="O2" s="199"/>
      <c r="P2" s="199"/>
      <c r="Q2" s="199"/>
      <c r="R2" s="220"/>
      <c r="S2" s="219" t="s">
        <v>722</v>
      </c>
      <c r="T2" s="199"/>
      <c r="U2" s="199"/>
      <c r="V2" s="199"/>
      <c r="W2" s="199"/>
      <c r="X2" s="199"/>
      <c r="Y2" s="199"/>
      <c r="Z2" s="220"/>
    </row>
    <row r="3" spans="1:26" s="43" customFormat="1" ht="15" customHeight="1" thickBot="1" x14ac:dyDescent="0.3">
      <c r="A3" s="191" t="s">
        <v>670</v>
      </c>
      <c r="B3" s="186" t="s">
        <v>720</v>
      </c>
      <c r="C3" s="187" t="s">
        <v>56</v>
      </c>
      <c r="D3" s="188" t="s">
        <v>846</v>
      </c>
      <c r="E3" s="188" t="s">
        <v>55</v>
      </c>
      <c r="F3" s="188" t="s">
        <v>847</v>
      </c>
      <c r="G3" s="188" t="s">
        <v>54</v>
      </c>
      <c r="H3" s="188" t="s">
        <v>848</v>
      </c>
      <c r="I3" s="188" t="s">
        <v>53</v>
      </c>
      <c r="J3" s="189" t="s">
        <v>849</v>
      </c>
      <c r="K3" s="187" t="s">
        <v>780</v>
      </c>
      <c r="L3" s="188" t="s">
        <v>850</v>
      </c>
      <c r="M3" s="188" t="s">
        <v>781</v>
      </c>
      <c r="N3" s="188" t="s">
        <v>851</v>
      </c>
      <c r="O3" s="188" t="s">
        <v>782</v>
      </c>
      <c r="P3" s="188" t="s">
        <v>852</v>
      </c>
      <c r="Q3" s="188" t="s">
        <v>783</v>
      </c>
      <c r="R3" s="189" t="s">
        <v>853</v>
      </c>
      <c r="S3" s="187" t="s">
        <v>784</v>
      </c>
      <c r="T3" s="188" t="s">
        <v>854</v>
      </c>
      <c r="U3" s="188" t="s">
        <v>785</v>
      </c>
      <c r="V3" s="188" t="s">
        <v>855</v>
      </c>
      <c r="W3" s="188" t="s">
        <v>786</v>
      </c>
      <c r="X3" s="188" t="s">
        <v>856</v>
      </c>
      <c r="Y3" s="188" t="s">
        <v>787</v>
      </c>
      <c r="Z3" s="189" t="s">
        <v>857</v>
      </c>
    </row>
    <row r="4" spans="1:26" ht="30" customHeight="1" x14ac:dyDescent="0.25">
      <c r="A4" s="153">
        <f>SUBTOTAL(3,$B$4:Ascension_Stones4447[[#This Row],[Stone Name]])</f>
        <v>1</v>
      </c>
      <c r="B4" s="158" t="s">
        <v>772</v>
      </c>
      <c r="C4" s="153" t="e" vm="293">
        <f>IFERROR(INDEX(GemsImg[Icon], MATCH(_xlfn.CONCAT(Ascension_Stones4447[[#This Row],[Stone Name]],"Gemstone"), GemsImg[Name], 0)), "")</f>
        <v>#VALUE!</v>
      </c>
      <c r="D4" s="36">
        <f>SUMIF(Gemstone[Stone Type],Ascension_Stones4447[[#This Row],[Gemstone]],Gemstone[Gemstone])</f>
        <v>0</v>
      </c>
      <c r="E4" s="36" t="e" vm="726">
        <f>IFERROR(INDEX(GemsImg[Icon], MATCH(_xlfn.CONCAT(Ascension_Stones4447[[#This Row],[Stone Name]],"Chunk"), GemsImg[Name], 0)), "")</f>
        <v>#VALUE!</v>
      </c>
      <c r="F4" s="36">
        <f>SUMIF(Gemstone[Stone Type],Ascension_Stones4447[[#This Row],[Gemstone]],Gemstone[Chunk])</f>
        <v>0</v>
      </c>
      <c r="G4" s="36" t="e" vm="732">
        <f>IFERROR(INDEX(GemsImg[Icon], MATCH(_xlfn.CONCAT(Ascension_Stones4447[[#This Row],[Stone Name]],"Fragment"), GemsImg[Name], 0)), "")</f>
        <v>#VALUE!</v>
      </c>
      <c r="H4" s="36">
        <f>SUMIF(Gemstone[Stone Type],Ascension_Stones4447[[#This Row],[Gemstone]],Gemstone[Fragment])</f>
        <v>0</v>
      </c>
      <c r="I4" s="36" t="e" vm="737">
        <f>IFERROR(INDEX(GemsImg[Icon], MATCH(_xlfn.CONCAT(Ascension_Stones4447[[#This Row],[Stone Name]],"Silver"), GemsImg[Name], 0)), "")</f>
        <v>#VALUE!</v>
      </c>
      <c r="J4" s="158">
        <f>SUMIF(Gemstone[Stone Type],Ascension_Stones4447[[#This Row],[Gemstone]],Gemstone[Silver])</f>
        <v>0</v>
      </c>
      <c r="K4" s="153" t="e" vm="293">
        <f>IFERROR(INDEX(GemsImg[Icon], MATCH(_xlfn.CONCAT(Ascension_Stones4447[[#This Row],[Stone Name]],"Gemstone"), GemsImg[Name], 0)), "")</f>
        <v>#VALUE!</v>
      </c>
      <c r="L4" s="36">
        <f>IFERROR(INDEX(GemsInv[Quantity], MATCH(Ascension_Stones4447[[#This Row],[Gemstone2]], GemsInv[Icon], 0)), "")</f>
        <v>0</v>
      </c>
      <c r="M4" s="36" t="e" vm="726">
        <f>IFERROR(INDEX(GemsImg[Icon], MATCH(_xlfn.CONCAT(Ascension_Stones4447[[#This Row],[Stone Name]],"Chunk"), GemsImg[Name], 0)), "")</f>
        <v>#VALUE!</v>
      </c>
      <c r="N4" s="36">
        <f>IFERROR(INDEX(GemsInv[Quantity], MATCH(Ascension_Stones4447[[#This Row],[Chunk6]], GemsInv[Icon], 0)), "")</f>
        <v>0</v>
      </c>
      <c r="O4" s="36" t="e" vm="732">
        <f>IFERROR(INDEX(GemsImg[Icon], MATCH(_xlfn.CONCAT(Ascension_Stones4447[[#This Row],[Stone Name]],"Fragment"), GemsImg[Name], 0)), "")</f>
        <v>#VALUE!</v>
      </c>
      <c r="P4" s="36">
        <f>IFERROR(INDEX(GemsInv[Quantity], MATCH(Ascension_Stones4447[[#This Row],[Fragment11]], GemsInv[Icon], 0)), "")</f>
        <v>0</v>
      </c>
      <c r="Q4" s="36" t="e" vm="737">
        <f>IFERROR(INDEX(GemsImg[Icon], MATCH(_xlfn.CONCAT(Ascension_Stones4447[[#This Row],[Stone Name]],"Silver"), GemsImg[Name], 0)), "")</f>
        <v>#VALUE!</v>
      </c>
      <c r="R4" s="158">
        <f>IFERROR(INDEX(GemsInv[Quantity], MATCH(Ascension_Stones4447[[#This Row],[Silver13]], GemsInv[Icon], 0)), "")</f>
        <v>0</v>
      </c>
      <c r="S4" s="153" t="e" vm="293">
        <f>IFERROR(INDEX(GemsImg[Icon], MATCH(_xlfn.CONCAT(Ascension_Stones4447[[#This Row],[Stone Name]],"Gemstone"), GemsImg[Name], 0)), "")</f>
        <v>#VALUE!</v>
      </c>
      <c r="T4" s="36">
        <f>Ascension_Stones4447[[#This Row],[Need to Farm1.1]]-Ascension_Stones4447[[#This Row],[Need to Farm2.1]]</f>
        <v>0</v>
      </c>
      <c r="U4" s="36" t="e" vm="726">
        <f>IFERROR(INDEX(GemsImg[Icon], MATCH(_xlfn.CONCAT(Ascension_Stones4447[[#This Row],[Stone Name]],"Chunk"), GemsImg[Name], 0)), "")</f>
        <v>#VALUE!</v>
      </c>
      <c r="V4" s="36">
        <f>Ascension_Stones4447[[#This Row],[Need to Farm1.2]]-Ascension_Stones4447[[#This Row],[Need to Farm2.2]]</f>
        <v>0</v>
      </c>
      <c r="W4" s="36" t="e" vm="732">
        <f>IFERROR(INDEX(GemsImg[Icon], MATCH(_xlfn.CONCAT(Ascension_Stones4447[[#This Row],[Stone Name]],"Fragment"), GemsImg[Name], 0)), "")</f>
        <v>#VALUE!</v>
      </c>
      <c r="X4" s="36">
        <f>Ascension_Stones4447[[#This Row],[Need to Farm1.3]]-Ascension_Stones4447[[#This Row],[Need to Farm2.3]]</f>
        <v>0</v>
      </c>
      <c r="Y4" s="36" t="e" vm="737">
        <f>IFERROR(INDEX(GemsImg[Icon], MATCH(_xlfn.CONCAT(Ascension_Stones4447[[#This Row],[Stone Name]],"Silver"), GemsImg[Name], 0)), "")</f>
        <v>#VALUE!</v>
      </c>
      <c r="Z4" s="158">
        <f>Ascension_Stones4447[[#This Row],[Need to Farm1.4]]-Ascension_Stones4447[[#This Row],[Need to Farm2.4]]</f>
        <v>0</v>
      </c>
    </row>
    <row r="5" spans="1:26" ht="30" customHeight="1" x14ac:dyDescent="0.25">
      <c r="A5" s="153">
        <f>SUBTOTAL(3,$B$4:Ascension_Stones4447[[#This Row],[Stone Name]])</f>
        <v>2</v>
      </c>
      <c r="B5" s="158" t="s">
        <v>773</v>
      </c>
      <c r="C5" s="153" t="e" vm="56">
        <f>IFERROR(INDEX(GemsImg[Icon], MATCH(_xlfn.CONCAT(Ascension_Stones4447[[#This Row],[Stone Name]],"Gemstone"), GemsImg[Name], 0)), "")</f>
        <v>#VALUE!</v>
      </c>
      <c r="D5" s="36">
        <f>SUMIF(Gemstone[Stone Type],Ascension_Stones4447[[#This Row],[Gemstone]],Gemstone[Gemstone])</f>
        <v>36</v>
      </c>
      <c r="E5" s="36" t="e" vm="744">
        <f>IFERROR(INDEX(GemsImg[Icon], MATCH(_xlfn.CONCAT(Ascension_Stones4447[[#This Row],[Stone Name]],"Chunk"), GemsImg[Name], 0)), "")</f>
        <v>#VALUE!</v>
      </c>
      <c r="F5" s="36">
        <f>SUMIF(Gemstone[Stone Type],Ascension_Stones4447[[#This Row],[Gemstone]],Gemstone[Chunk])</f>
        <v>45</v>
      </c>
      <c r="G5" s="36" t="e" vm="747">
        <f>IFERROR(INDEX(GemsImg[Icon], MATCH(_xlfn.CONCAT(Ascension_Stones4447[[#This Row],[Stone Name]],"Fragment"), GemsImg[Name], 0)), "")</f>
        <v>#VALUE!</v>
      </c>
      <c r="H5" s="36">
        <f>SUMIF(Gemstone[Stone Type],Ascension_Stones4447[[#This Row],[Gemstone]],Gemstone[Fragment])</f>
        <v>36</v>
      </c>
      <c r="I5" s="36" t="e" vm="751">
        <f>IFERROR(INDEX(GemsImg[Icon], MATCH(_xlfn.CONCAT(Ascension_Stones4447[[#This Row],[Stone Name]],"Silver"), GemsImg[Name], 0)), "")</f>
        <v>#VALUE!</v>
      </c>
      <c r="J5" s="158">
        <f>SUMIF(Gemstone[Stone Type],Ascension_Stones4447[[#This Row],[Gemstone]],Gemstone[Silver])</f>
        <v>0</v>
      </c>
      <c r="K5" s="153" t="e" vm="56">
        <f>IFERROR(INDEX(GemsImg[Icon], MATCH(_xlfn.CONCAT(Ascension_Stones4447[[#This Row],[Stone Name]],"Gemstone"), GemsImg[Name], 0)), "")</f>
        <v>#VALUE!</v>
      </c>
      <c r="L5" s="36">
        <f>IFERROR(INDEX(GemsInv[Quantity], MATCH(Ascension_Stones4447[[#This Row],[Gemstone2]], GemsInv[Icon], 0)), "")</f>
        <v>18</v>
      </c>
      <c r="M5" s="36" t="e" vm="744">
        <f>IFERROR(INDEX(GemsImg[Icon], MATCH(_xlfn.CONCAT(Ascension_Stones4447[[#This Row],[Stone Name]],"Chunk"), GemsImg[Name], 0)), "")</f>
        <v>#VALUE!</v>
      </c>
      <c r="N5" s="36">
        <f>IFERROR(INDEX(GemsInv[Quantity], MATCH(Ascension_Stones4447[[#This Row],[Chunk6]], GemsInv[Icon], 0)), "")</f>
        <v>41</v>
      </c>
      <c r="O5" s="36" t="e" vm="747">
        <f>IFERROR(INDEX(GemsImg[Icon], MATCH(_xlfn.CONCAT(Ascension_Stones4447[[#This Row],[Stone Name]],"Fragment"), GemsImg[Name], 0)), "")</f>
        <v>#VALUE!</v>
      </c>
      <c r="P5" s="36">
        <f>IFERROR(INDEX(GemsInv[Quantity], MATCH(Ascension_Stones4447[[#This Row],[Fragment11]], GemsInv[Icon], 0)), "")</f>
        <v>141</v>
      </c>
      <c r="Q5" s="36" t="e" vm="751">
        <f>IFERROR(INDEX(GemsImg[Icon], MATCH(_xlfn.CONCAT(Ascension_Stones4447[[#This Row],[Stone Name]],"Silver"), GemsImg[Name], 0)), "")</f>
        <v>#VALUE!</v>
      </c>
      <c r="R5" s="158">
        <f>IFERROR(INDEX(GemsInv[Quantity], MATCH(Ascension_Stones4447[[#This Row],[Silver13]], GemsInv[Icon], 0)), "")</f>
        <v>191</v>
      </c>
      <c r="S5" s="153" t="e" vm="56">
        <f>IFERROR(INDEX(GemsImg[Icon], MATCH(_xlfn.CONCAT(Ascension_Stones4447[[#This Row],[Stone Name]],"Gemstone"), GemsImg[Name], 0)), "")</f>
        <v>#VALUE!</v>
      </c>
      <c r="T5" s="36">
        <f>Ascension_Stones4447[[#This Row],[Need to Farm1.1]]-Ascension_Stones4447[[#This Row],[Need to Farm2.1]]</f>
        <v>18</v>
      </c>
      <c r="U5" s="36" t="e" vm="744">
        <f>IFERROR(INDEX(GemsImg[Icon], MATCH(_xlfn.CONCAT(Ascension_Stones4447[[#This Row],[Stone Name]],"Chunk"), GemsImg[Name], 0)), "")</f>
        <v>#VALUE!</v>
      </c>
      <c r="V5" s="36">
        <f>Ascension_Stones4447[[#This Row],[Need to Farm1.2]]-Ascension_Stones4447[[#This Row],[Need to Farm2.2]]</f>
        <v>4</v>
      </c>
      <c r="W5" s="36" t="e" vm="747">
        <f>IFERROR(INDEX(GemsImg[Icon], MATCH(_xlfn.CONCAT(Ascension_Stones4447[[#This Row],[Stone Name]],"Fragment"), GemsImg[Name], 0)), "")</f>
        <v>#VALUE!</v>
      </c>
      <c r="X5" s="36">
        <f>Ascension_Stones4447[[#This Row],[Need to Farm1.3]]-Ascension_Stones4447[[#This Row],[Need to Farm2.3]]</f>
        <v>-105</v>
      </c>
      <c r="Y5" s="36" t="e" vm="751">
        <f>IFERROR(INDEX(GemsImg[Icon], MATCH(_xlfn.CONCAT(Ascension_Stones4447[[#This Row],[Stone Name]],"Silver"), GemsImg[Name], 0)), "")</f>
        <v>#VALUE!</v>
      </c>
      <c r="Z5" s="158">
        <f>Ascension_Stones4447[[#This Row],[Need to Farm1.4]]-Ascension_Stones4447[[#This Row],[Need to Farm2.4]]</f>
        <v>-191</v>
      </c>
    </row>
    <row r="6" spans="1:26" ht="30" customHeight="1" x14ac:dyDescent="0.25">
      <c r="A6" s="153">
        <f>SUBTOTAL(3,$B$4:Ascension_Stones4447[[#This Row],[Stone Name]])</f>
        <v>3</v>
      </c>
      <c r="B6" s="158" t="s">
        <v>774</v>
      </c>
      <c r="C6" s="153" t="e" vm="117">
        <f>IFERROR(INDEX(GemsImg[Icon], MATCH(_xlfn.CONCAT(Ascension_Stones4447[[#This Row],[Stone Name]],"Gemstone"), GemsImg[Name], 0)), "")</f>
        <v>#VALUE!</v>
      </c>
      <c r="D6" s="36">
        <f>SUMIF(Gemstone[Stone Type],Ascension_Stones4447[[#This Row],[Gemstone]],Gemstone[Gemstone])</f>
        <v>6</v>
      </c>
      <c r="E6" s="36" t="e" vm="757">
        <f>IFERROR(INDEX(GemsImg[Icon], MATCH(_xlfn.CONCAT(Ascension_Stones4447[[#This Row],[Stone Name]],"Chunk"), GemsImg[Name], 0)), "")</f>
        <v>#VALUE!</v>
      </c>
      <c r="F6" s="36">
        <f>SUMIF(Gemstone[Stone Type],Ascension_Stones4447[[#This Row],[Gemstone]],Gemstone[Chunk])</f>
        <v>9</v>
      </c>
      <c r="G6" s="36" t="e" vm="761">
        <f>IFERROR(INDEX(GemsImg[Icon], MATCH(_xlfn.CONCAT(Ascension_Stones4447[[#This Row],[Stone Name]],"Fragment"), GemsImg[Name], 0)), "")</f>
        <v>#VALUE!</v>
      </c>
      <c r="H6" s="36">
        <f>SUMIF(Gemstone[Stone Type],Ascension_Stones4447[[#This Row],[Gemstone]],Gemstone[Fragment])</f>
        <v>9</v>
      </c>
      <c r="I6" s="36" t="e" vm="765">
        <f>IFERROR(INDEX(GemsImg[Icon], MATCH(_xlfn.CONCAT(Ascension_Stones4447[[#This Row],[Stone Name]],"Silver"), GemsImg[Name], 0)), "")</f>
        <v>#VALUE!</v>
      </c>
      <c r="J6" s="158">
        <f>SUMIF(Gemstone[Stone Type],Ascension_Stones4447[[#This Row],[Gemstone]],Gemstone[Silver])</f>
        <v>0</v>
      </c>
      <c r="K6" s="153" t="e" vm="117">
        <f>IFERROR(INDEX(GemsImg[Icon], MATCH(_xlfn.CONCAT(Ascension_Stones4447[[#This Row],[Stone Name]],"Gemstone"), GemsImg[Name], 0)), "")</f>
        <v>#VALUE!</v>
      </c>
      <c r="L6" s="36">
        <f>IFERROR(INDEX(GemsInv[Quantity], MATCH(Ascension_Stones4447[[#This Row],[Gemstone2]], GemsInv[Icon], 0)), "")</f>
        <v>6</v>
      </c>
      <c r="M6" s="36" t="e" vm="757">
        <f>IFERROR(INDEX(GemsImg[Icon], MATCH(_xlfn.CONCAT(Ascension_Stones4447[[#This Row],[Stone Name]],"Chunk"), GemsImg[Name], 0)), "")</f>
        <v>#VALUE!</v>
      </c>
      <c r="N6" s="36">
        <f>IFERROR(INDEX(GemsInv[Quantity], MATCH(Ascension_Stones4447[[#This Row],[Chunk6]], GemsInv[Icon], 0)), "")</f>
        <v>12</v>
      </c>
      <c r="O6" s="36" t="e" vm="761">
        <f>IFERROR(INDEX(GemsImg[Icon], MATCH(_xlfn.CONCAT(Ascension_Stones4447[[#This Row],[Stone Name]],"Fragment"), GemsImg[Name], 0)), "")</f>
        <v>#VALUE!</v>
      </c>
      <c r="P6" s="36">
        <f>IFERROR(INDEX(GemsInv[Quantity], MATCH(Ascension_Stones4447[[#This Row],[Fragment11]], GemsInv[Icon], 0)), "")</f>
        <v>88</v>
      </c>
      <c r="Q6" s="36" t="e" vm="765">
        <f>IFERROR(INDEX(GemsImg[Icon], MATCH(_xlfn.CONCAT(Ascension_Stones4447[[#This Row],[Stone Name]],"Silver"), GemsImg[Name], 0)), "")</f>
        <v>#VALUE!</v>
      </c>
      <c r="R6" s="158">
        <f>IFERROR(INDEX(GemsInv[Quantity], MATCH(Ascension_Stones4447[[#This Row],[Silver13]], GemsInv[Icon], 0)), "")</f>
        <v>113</v>
      </c>
      <c r="S6" s="153" t="e" vm="117">
        <f>IFERROR(INDEX(GemsImg[Icon], MATCH(_xlfn.CONCAT(Ascension_Stones4447[[#This Row],[Stone Name]],"Gemstone"), GemsImg[Name], 0)), "")</f>
        <v>#VALUE!</v>
      </c>
      <c r="T6" s="36">
        <f>Ascension_Stones4447[[#This Row],[Need to Farm1.1]]-Ascension_Stones4447[[#This Row],[Need to Farm2.1]]</f>
        <v>0</v>
      </c>
      <c r="U6" s="36" t="e" vm="757">
        <f>IFERROR(INDEX(GemsImg[Icon], MATCH(_xlfn.CONCAT(Ascension_Stones4447[[#This Row],[Stone Name]],"Chunk"), GemsImg[Name], 0)), "")</f>
        <v>#VALUE!</v>
      </c>
      <c r="V6" s="36">
        <f>Ascension_Stones4447[[#This Row],[Need to Farm1.2]]-Ascension_Stones4447[[#This Row],[Need to Farm2.2]]</f>
        <v>-3</v>
      </c>
      <c r="W6" s="36" t="e" vm="761">
        <f>IFERROR(INDEX(GemsImg[Icon], MATCH(_xlfn.CONCAT(Ascension_Stones4447[[#This Row],[Stone Name]],"Fragment"), GemsImg[Name], 0)), "")</f>
        <v>#VALUE!</v>
      </c>
      <c r="X6" s="36">
        <f>Ascension_Stones4447[[#This Row],[Need to Farm1.3]]-Ascension_Stones4447[[#This Row],[Need to Farm2.3]]</f>
        <v>-79</v>
      </c>
      <c r="Y6" s="36" t="e" vm="765">
        <f>IFERROR(INDEX(GemsImg[Icon], MATCH(_xlfn.CONCAT(Ascension_Stones4447[[#This Row],[Stone Name]],"Silver"), GemsImg[Name], 0)), "")</f>
        <v>#VALUE!</v>
      </c>
      <c r="Z6" s="158">
        <f>Ascension_Stones4447[[#This Row],[Need to Farm1.4]]-Ascension_Stones4447[[#This Row],[Need to Farm2.4]]</f>
        <v>-113</v>
      </c>
    </row>
    <row r="7" spans="1:26" ht="30" customHeight="1" x14ac:dyDescent="0.25">
      <c r="A7" s="153">
        <f>SUBTOTAL(3,$B$4:Ascension_Stones4447[[#This Row],[Stone Name]])</f>
        <v>4</v>
      </c>
      <c r="B7" s="158" t="s">
        <v>775</v>
      </c>
      <c r="C7" s="153" t="e" vm="34">
        <f>IFERROR(INDEX(GemsImg[Icon], MATCH(_xlfn.CONCAT(Ascension_Stones4447[[#This Row],[Stone Name]],"Gemstone"), GemsImg[Name], 0)), "")</f>
        <v>#VALUE!</v>
      </c>
      <c r="D7" s="36">
        <f>SUMIF(Gemstone[Stone Type],Ascension_Stones4447[[#This Row],[Gemstone]],Gemstone[Gemstone])</f>
        <v>36</v>
      </c>
      <c r="E7" s="36" t="e" vm="769">
        <f>IFERROR(INDEX(GemsImg[Icon], MATCH(_xlfn.CONCAT(Ascension_Stones4447[[#This Row],[Stone Name]],"Chunk"), GemsImg[Name], 0)), "")</f>
        <v>#VALUE!</v>
      </c>
      <c r="F7" s="36">
        <f>SUMIF(Gemstone[Stone Type],Ascension_Stones4447[[#This Row],[Gemstone]],Gemstone[Chunk])</f>
        <v>54</v>
      </c>
      <c r="G7" s="36" t="e" vm="771">
        <f>IFERROR(INDEX(GemsImg[Icon], MATCH(_xlfn.CONCAT(Ascension_Stones4447[[#This Row],[Stone Name]],"Fragment"), GemsImg[Name], 0)), "")</f>
        <v>#VALUE!</v>
      </c>
      <c r="H7" s="36">
        <f>SUMIF(Gemstone[Stone Type],Ascension_Stones4447[[#This Row],[Gemstone]],Gemstone[Fragment])</f>
        <v>54</v>
      </c>
      <c r="I7" s="36" t="e" vm="772">
        <f>IFERROR(INDEX(GemsImg[Icon], MATCH(_xlfn.CONCAT(Ascension_Stones4447[[#This Row],[Stone Name]],"Silver"), GemsImg[Name], 0)), "")</f>
        <v>#VALUE!</v>
      </c>
      <c r="J7" s="158">
        <f>SUMIF(Gemstone[Stone Type],Ascension_Stones4447[[#This Row],[Gemstone]],Gemstone[Silver])</f>
        <v>1</v>
      </c>
      <c r="K7" s="153" t="e" vm="34">
        <f>IFERROR(INDEX(GemsImg[Icon], MATCH(_xlfn.CONCAT(Ascension_Stones4447[[#This Row],[Stone Name]],"Gemstone"), GemsImg[Name], 0)), "")</f>
        <v>#VALUE!</v>
      </c>
      <c r="L7" s="36">
        <f>IFERROR(INDEX(GemsInv[Quantity], MATCH(Ascension_Stones4447[[#This Row],[Gemstone2]], GemsInv[Icon], 0)), "")</f>
        <v>3</v>
      </c>
      <c r="M7" s="36" t="e" vm="769">
        <f>IFERROR(INDEX(GemsImg[Icon], MATCH(_xlfn.CONCAT(Ascension_Stones4447[[#This Row],[Stone Name]],"Chunk"), GemsImg[Name], 0)), "")</f>
        <v>#VALUE!</v>
      </c>
      <c r="N7" s="36">
        <f>IFERROR(INDEX(GemsInv[Quantity], MATCH(Ascension_Stones4447[[#This Row],[Chunk6]], GemsInv[Icon], 0)), "")</f>
        <v>43</v>
      </c>
      <c r="O7" s="36" t="e" vm="771">
        <f>IFERROR(INDEX(GemsImg[Icon], MATCH(_xlfn.CONCAT(Ascension_Stones4447[[#This Row],[Stone Name]],"Fragment"), GemsImg[Name], 0)), "")</f>
        <v>#VALUE!</v>
      </c>
      <c r="P7" s="36">
        <f>IFERROR(INDEX(GemsInv[Quantity], MATCH(Ascension_Stones4447[[#This Row],[Fragment11]], GemsInv[Icon], 0)), "")</f>
        <v>138</v>
      </c>
      <c r="Q7" s="36" t="e" vm="772">
        <f>IFERROR(INDEX(GemsImg[Icon], MATCH(_xlfn.CONCAT(Ascension_Stones4447[[#This Row],[Stone Name]],"Silver"), GemsImg[Name], 0)), "")</f>
        <v>#VALUE!</v>
      </c>
      <c r="R7" s="158">
        <f>IFERROR(INDEX(GemsInv[Quantity], MATCH(Ascension_Stones4447[[#This Row],[Silver13]], GemsInv[Icon], 0)), "")</f>
        <v>112</v>
      </c>
      <c r="S7" s="153" t="e" vm="34">
        <f>IFERROR(INDEX(GemsImg[Icon], MATCH(_xlfn.CONCAT(Ascension_Stones4447[[#This Row],[Stone Name]],"Gemstone"), GemsImg[Name], 0)), "")</f>
        <v>#VALUE!</v>
      </c>
      <c r="T7" s="36">
        <f>Ascension_Stones4447[[#This Row],[Need to Farm1.1]]-Ascension_Stones4447[[#This Row],[Need to Farm2.1]]</f>
        <v>33</v>
      </c>
      <c r="U7" s="36" t="e" vm="769">
        <f>IFERROR(INDEX(GemsImg[Icon], MATCH(_xlfn.CONCAT(Ascension_Stones4447[[#This Row],[Stone Name]],"Chunk"), GemsImg[Name], 0)), "")</f>
        <v>#VALUE!</v>
      </c>
      <c r="V7" s="36">
        <f>Ascension_Stones4447[[#This Row],[Need to Farm1.2]]-Ascension_Stones4447[[#This Row],[Need to Farm2.2]]</f>
        <v>11</v>
      </c>
      <c r="W7" s="36" t="e" vm="771">
        <f>IFERROR(INDEX(GemsImg[Icon], MATCH(_xlfn.CONCAT(Ascension_Stones4447[[#This Row],[Stone Name]],"Fragment"), GemsImg[Name], 0)), "")</f>
        <v>#VALUE!</v>
      </c>
      <c r="X7" s="36">
        <f>Ascension_Stones4447[[#This Row],[Need to Farm1.3]]-Ascension_Stones4447[[#This Row],[Need to Farm2.3]]</f>
        <v>-84</v>
      </c>
      <c r="Y7" s="36" t="e" vm="772">
        <f>IFERROR(INDEX(GemsImg[Icon], MATCH(_xlfn.CONCAT(Ascension_Stones4447[[#This Row],[Stone Name]],"Silver"), GemsImg[Name], 0)), "")</f>
        <v>#VALUE!</v>
      </c>
      <c r="Z7" s="158">
        <f>Ascension_Stones4447[[#This Row],[Need to Farm1.4]]-Ascension_Stones4447[[#This Row],[Need to Farm2.4]]</f>
        <v>-111</v>
      </c>
    </row>
    <row r="8" spans="1:26" ht="30" customHeight="1" x14ac:dyDescent="0.25">
      <c r="A8" s="153">
        <f>SUBTOTAL(3,$B$4:Ascension_Stones4447[[#This Row],[Stone Name]])</f>
        <v>5</v>
      </c>
      <c r="B8" s="158" t="s">
        <v>776</v>
      </c>
      <c r="C8" s="153" t="e" vm="97">
        <f>IFERROR(INDEX(GemsImg[Icon], MATCH(_xlfn.CONCAT(Ascension_Stones4447[[#This Row],[Stone Name]],"Gemstone"), GemsImg[Name], 0)), "")</f>
        <v>#VALUE!</v>
      </c>
      <c r="D8" s="36">
        <f>SUMIF(Gemstone[Stone Type],Ascension_Stones4447[[#This Row],[Gemstone]],Gemstone[Gemstone])</f>
        <v>36</v>
      </c>
      <c r="E8" s="36" t="e" vm="775">
        <f>IFERROR(INDEX(GemsImg[Icon], MATCH(_xlfn.CONCAT(Ascension_Stones4447[[#This Row],[Stone Name]],"Chunk"), GemsImg[Name], 0)), "")</f>
        <v>#VALUE!</v>
      </c>
      <c r="F8" s="36">
        <f>SUMIF(Gemstone[Stone Type],Ascension_Stones4447[[#This Row],[Gemstone]],Gemstone[Chunk])</f>
        <v>39</v>
      </c>
      <c r="G8" s="36" t="e" vm="776">
        <f>IFERROR(INDEX(GemsImg[Icon], MATCH(_xlfn.CONCAT(Ascension_Stones4447[[#This Row],[Stone Name]],"Fragment"), GemsImg[Name], 0)), "")</f>
        <v>#VALUE!</v>
      </c>
      <c r="H8" s="36">
        <f>SUMIF(Gemstone[Stone Type],Ascension_Stones4447[[#This Row],[Gemstone]],Gemstone[Fragment])</f>
        <v>9</v>
      </c>
      <c r="I8" s="36" t="e" vm="778">
        <f>IFERROR(INDEX(GemsImg[Icon], MATCH(_xlfn.CONCAT(Ascension_Stones4447[[#This Row],[Stone Name]],"Silver"), GemsImg[Name], 0)), "")</f>
        <v>#VALUE!</v>
      </c>
      <c r="J8" s="158">
        <f>SUMIF(Gemstone[Stone Type],Ascension_Stones4447[[#This Row],[Gemstone]],Gemstone[Silver])</f>
        <v>0</v>
      </c>
      <c r="K8" s="153" t="e" vm="97">
        <f>IFERROR(INDEX(GemsImg[Icon], MATCH(_xlfn.CONCAT(Ascension_Stones4447[[#This Row],[Stone Name]],"Gemstone"), GemsImg[Name], 0)), "")</f>
        <v>#VALUE!</v>
      </c>
      <c r="L8" s="36">
        <f>IFERROR(INDEX(GemsInv[Quantity], MATCH(Ascension_Stones4447[[#This Row],[Gemstone2]], GemsInv[Icon], 0)), "")</f>
        <v>30</v>
      </c>
      <c r="M8" s="36" t="e" vm="775">
        <f>IFERROR(INDEX(GemsImg[Icon], MATCH(_xlfn.CONCAT(Ascension_Stones4447[[#This Row],[Stone Name]],"Chunk"), GemsImg[Name], 0)), "")</f>
        <v>#VALUE!</v>
      </c>
      <c r="N8" s="36">
        <f>IFERROR(INDEX(GemsInv[Quantity], MATCH(Ascension_Stones4447[[#This Row],[Chunk6]], GemsInv[Icon], 0)), "")</f>
        <v>38</v>
      </c>
      <c r="O8" s="36" t="e" vm="776">
        <f>IFERROR(INDEX(GemsImg[Icon], MATCH(_xlfn.CONCAT(Ascension_Stones4447[[#This Row],[Stone Name]],"Fragment"), GemsImg[Name], 0)), "")</f>
        <v>#VALUE!</v>
      </c>
      <c r="P8" s="36">
        <f>IFERROR(INDEX(GemsInv[Quantity], MATCH(Ascension_Stones4447[[#This Row],[Fragment11]], GemsInv[Icon], 0)), "")</f>
        <v>157</v>
      </c>
      <c r="Q8" s="36" t="e" vm="778">
        <f>IFERROR(INDEX(GemsImg[Icon], MATCH(_xlfn.CONCAT(Ascension_Stones4447[[#This Row],[Stone Name]],"Silver"), GemsImg[Name], 0)), "")</f>
        <v>#VALUE!</v>
      </c>
      <c r="R8" s="158">
        <f>IFERROR(INDEX(GemsInv[Quantity], MATCH(Ascension_Stones4447[[#This Row],[Silver13]], GemsInv[Icon], 0)), "")</f>
        <v>152</v>
      </c>
      <c r="S8" s="153" t="e" vm="97">
        <f>IFERROR(INDEX(GemsImg[Icon], MATCH(_xlfn.CONCAT(Ascension_Stones4447[[#This Row],[Stone Name]],"Gemstone"), GemsImg[Name], 0)), "")</f>
        <v>#VALUE!</v>
      </c>
      <c r="T8" s="36">
        <f>Ascension_Stones4447[[#This Row],[Need to Farm1.1]]-Ascension_Stones4447[[#This Row],[Need to Farm2.1]]</f>
        <v>6</v>
      </c>
      <c r="U8" s="36" t="e" vm="775">
        <f>IFERROR(INDEX(GemsImg[Icon], MATCH(_xlfn.CONCAT(Ascension_Stones4447[[#This Row],[Stone Name]],"Chunk"), GemsImg[Name], 0)), "")</f>
        <v>#VALUE!</v>
      </c>
      <c r="V8" s="36">
        <f>Ascension_Stones4447[[#This Row],[Need to Farm1.2]]-Ascension_Stones4447[[#This Row],[Need to Farm2.2]]</f>
        <v>1</v>
      </c>
      <c r="W8" s="36" t="e" vm="776">
        <f>IFERROR(INDEX(GemsImg[Icon], MATCH(_xlfn.CONCAT(Ascension_Stones4447[[#This Row],[Stone Name]],"Fragment"), GemsImg[Name], 0)), "")</f>
        <v>#VALUE!</v>
      </c>
      <c r="X8" s="36">
        <f>Ascension_Stones4447[[#This Row],[Need to Farm1.3]]-Ascension_Stones4447[[#This Row],[Need to Farm2.3]]</f>
        <v>-148</v>
      </c>
      <c r="Y8" s="36" t="e" vm="778">
        <f>IFERROR(INDEX(GemsImg[Icon], MATCH(_xlfn.CONCAT(Ascension_Stones4447[[#This Row],[Stone Name]],"Silver"), GemsImg[Name], 0)), "")</f>
        <v>#VALUE!</v>
      </c>
      <c r="Z8" s="158">
        <f>Ascension_Stones4447[[#This Row],[Need to Farm1.4]]-Ascension_Stones4447[[#This Row],[Need to Farm2.4]]</f>
        <v>-152</v>
      </c>
    </row>
    <row r="9" spans="1:26" ht="30" customHeight="1" x14ac:dyDescent="0.25">
      <c r="A9" s="153">
        <f>SUBTOTAL(3,$B$4:Ascension_Stones4447[[#This Row],[Stone Name]])</f>
        <v>6</v>
      </c>
      <c r="B9" s="158" t="s">
        <v>777</v>
      </c>
      <c r="C9" s="153" t="e" vm="135">
        <f>IFERROR(INDEX(GemsImg[Icon], MATCH(_xlfn.CONCAT(Ascension_Stones4447[[#This Row],[Stone Name]],"Gemstone"), GemsImg[Name], 0)), "")</f>
        <v>#VALUE!</v>
      </c>
      <c r="D9" s="36">
        <f>SUMIF(Gemstone[Stone Type],Ascension_Stones4447[[#This Row],[Gemstone]],Gemstone[Gemstone])</f>
        <v>30</v>
      </c>
      <c r="E9" s="36" t="e" vm="780">
        <f>IFERROR(INDEX(GemsImg[Icon], MATCH(_xlfn.CONCAT(Ascension_Stones4447[[#This Row],[Stone Name]],"Chunk"), GemsImg[Name], 0)), "")</f>
        <v>#VALUE!</v>
      </c>
      <c r="F9" s="36">
        <f>SUMIF(Gemstone[Stone Type],Ascension_Stones4447[[#This Row],[Gemstone]],Gemstone[Chunk])</f>
        <v>36</v>
      </c>
      <c r="G9" s="36" t="e" vm="782">
        <f>IFERROR(INDEX(GemsImg[Icon], MATCH(_xlfn.CONCAT(Ascension_Stones4447[[#This Row],[Stone Name]],"Fragment"), GemsImg[Name], 0)), "")</f>
        <v>#VALUE!</v>
      </c>
      <c r="H9" s="36">
        <f>SUMIF(Gemstone[Stone Type],Ascension_Stones4447[[#This Row],[Gemstone]],Gemstone[Fragment])</f>
        <v>27</v>
      </c>
      <c r="I9" s="36" t="e" vm="784">
        <f>IFERROR(INDEX(GemsImg[Icon], MATCH(_xlfn.CONCAT(Ascension_Stones4447[[#This Row],[Stone Name]],"Silver"), GemsImg[Name], 0)), "")</f>
        <v>#VALUE!</v>
      </c>
      <c r="J9" s="158">
        <f>SUMIF(Gemstone[Stone Type],Ascension_Stones4447[[#This Row],[Gemstone]],Gemstone[Silver])</f>
        <v>0</v>
      </c>
      <c r="K9" s="153" t="e" vm="135">
        <f>IFERROR(INDEX(GemsImg[Icon], MATCH(_xlfn.CONCAT(Ascension_Stones4447[[#This Row],[Stone Name]],"Gemstone"), GemsImg[Name], 0)), "")</f>
        <v>#VALUE!</v>
      </c>
      <c r="L9" s="36">
        <f>IFERROR(INDEX(GemsInv[Quantity], MATCH(Ascension_Stones4447[[#This Row],[Gemstone2]], GemsInv[Icon], 0)), "")</f>
        <v>5</v>
      </c>
      <c r="M9" s="36" t="e" vm="780">
        <f>IFERROR(INDEX(GemsImg[Icon], MATCH(_xlfn.CONCAT(Ascension_Stones4447[[#This Row],[Stone Name]],"Chunk"), GemsImg[Name], 0)), "")</f>
        <v>#VALUE!</v>
      </c>
      <c r="N9" s="36">
        <f>IFERROR(INDEX(GemsInv[Quantity], MATCH(Ascension_Stones4447[[#This Row],[Chunk6]], GemsInv[Icon], 0)), "")</f>
        <v>47</v>
      </c>
      <c r="O9" s="36" t="e" vm="782">
        <f>IFERROR(INDEX(GemsImg[Icon], MATCH(_xlfn.CONCAT(Ascension_Stones4447[[#This Row],[Stone Name]],"Fragment"), GemsImg[Name], 0)), "")</f>
        <v>#VALUE!</v>
      </c>
      <c r="P9" s="36">
        <f>IFERROR(INDEX(GemsInv[Quantity], MATCH(Ascension_Stones4447[[#This Row],[Fragment11]], GemsInv[Icon], 0)), "")</f>
        <v>140</v>
      </c>
      <c r="Q9" s="36" t="e" vm="784">
        <f>IFERROR(INDEX(GemsImg[Icon], MATCH(_xlfn.CONCAT(Ascension_Stones4447[[#This Row],[Stone Name]],"Silver"), GemsImg[Name], 0)), "")</f>
        <v>#VALUE!</v>
      </c>
      <c r="R9" s="158">
        <f>IFERROR(INDEX(GemsInv[Quantity], MATCH(Ascension_Stones4447[[#This Row],[Silver13]], GemsInv[Icon], 0)), "")</f>
        <v>169</v>
      </c>
      <c r="S9" s="153" t="e" vm="135">
        <f>IFERROR(INDEX(GemsImg[Icon], MATCH(_xlfn.CONCAT(Ascension_Stones4447[[#This Row],[Stone Name]],"Gemstone"), GemsImg[Name], 0)), "")</f>
        <v>#VALUE!</v>
      </c>
      <c r="T9" s="36">
        <f>Ascension_Stones4447[[#This Row],[Need to Farm1.1]]-Ascension_Stones4447[[#This Row],[Need to Farm2.1]]</f>
        <v>25</v>
      </c>
      <c r="U9" s="36" t="e" vm="780">
        <f>IFERROR(INDEX(GemsImg[Icon], MATCH(_xlfn.CONCAT(Ascension_Stones4447[[#This Row],[Stone Name]],"Chunk"), GemsImg[Name], 0)), "")</f>
        <v>#VALUE!</v>
      </c>
      <c r="V9" s="36">
        <f>Ascension_Stones4447[[#This Row],[Need to Farm1.2]]-Ascension_Stones4447[[#This Row],[Need to Farm2.2]]</f>
        <v>-11</v>
      </c>
      <c r="W9" s="36" t="e" vm="782">
        <f>IFERROR(INDEX(GemsImg[Icon], MATCH(_xlfn.CONCAT(Ascension_Stones4447[[#This Row],[Stone Name]],"Fragment"), GemsImg[Name], 0)), "")</f>
        <v>#VALUE!</v>
      </c>
      <c r="X9" s="36">
        <f>Ascension_Stones4447[[#This Row],[Need to Farm1.3]]-Ascension_Stones4447[[#This Row],[Need to Farm2.3]]</f>
        <v>-113</v>
      </c>
      <c r="Y9" s="36" t="e" vm="784">
        <f>IFERROR(INDEX(GemsImg[Icon], MATCH(_xlfn.CONCAT(Ascension_Stones4447[[#This Row],[Stone Name]],"Silver"), GemsImg[Name], 0)), "")</f>
        <v>#VALUE!</v>
      </c>
      <c r="Z9" s="158">
        <f>Ascension_Stones4447[[#This Row],[Need to Farm1.4]]-Ascension_Stones4447[[#This Row],[Need to Farm2.4]]</f>
        <v>-169</v>
      </c>
    </row>
    <row r="10" spans="1:26" ht="30" customHeight="1" x14ac:dyDescent="0.25">
      <c r="A10" s="153">
        <f>SUBTOTAL(3,$B$4:Ascension_Stones4447[[#This Row],[Stone Name]])</f>
        <v>7</v>
      </c>
      <c r="B10" s="158" t="s">
        <v>778</v>
      </c>
      <c r="C10" s="153" t="e" vm="169">
        <f>IFERROR(INDEX(GemsImg[Icon], MATCH(_xlfn.CONCAT(Ascension_Stones4447[[#This Row],[Stone Name]],"Gemstone"), GemsImg[Name], 0)), "")</f>
        <v>#VALUE!</v>
      </c>
      <c r="D10" s="36">
        <f>SUMIF(Gemstone[Stone Type],Ascension_Stones4447[[#This Row],[Gemstone]],Gemstone[Gemstone])</f>
        <v>48</v>
      </c>
      <c r="E10" s="36" t="e" vm="786">
        <f>IFERROR(INDEX(GemsImg[Icon], MATCH(_xlfn.CONCAT(Ascension_Stones4447[[#This Row],[Stone Name]],"Chunk"), GemsImg[Name], 0)), "")</f>
        <v>#VALUE!</v>
      </c>
      <c r="F10" s="36">
        <f>SUMIF(Gemstone[Stone Type],Ascension_Stones4447[[#This Row],[Gemstone]],Gemstone[Chunk])</f>
        <v>63</v>
      </c>
      <c r="G10" s="36" t="e" vm="788">
        <f>IFERROR(INDEX(GemsImg[Icon], MATCH(_xlfn.CONCAT(Ascension_Stones4447[[#This Row],[Stone Name]],"Fragment"), GemsImg[Name], 0)), "")</f>
        <v>#VALUE!</v>
      </c>
      <c r="H10" s="36">
        <f>SUMIF(Gemstone[Stone Type],Ascension_Stones4447[[#This Row],[Gemstone]],Gemstone[Fragment])</f>
        <v>51</v>
      </c>
      <c r="I10" s="36" t="e" vm="789">
        <f>IFERROR(INDEX(GemsImg[Icon], MATCH(_xlfn.CONCAT(Ascension_Stones4447[[#This Row],[Stone Name]],"Silver"), GemsImg[Name], 0)), "")</f>
        <v>#VALUE!</v>
      </c>
      <c r="J10" s="158">
        <f>SUMIF(Gemstone[Stone Type],Ascension_Stones4447[[#This Row],[Gemstone]],Gemstone[Silver])</f>
        <v>0</v>
      </c>
      <c r="K10" s="153" t="e" vm="169">
        <f>IFERROR(INDEX(GemsImg[Icon], MATCH(_xlfn.CONCAT(Ascension_Stones4447[[#This Row],[Stone Name]],"Gemstone"), GemsImg[Name], 0)), "")</f>
        <v>#VALUE!</v>
      </c>
      <c r="L10" s="36">
        <f>IFERROR(INDEX(GemsInv[Quantity], MATCH(Ascension_Stones4447[[#This Row],[Gemstone2]], GemsInv[Icon], 0)), "")</f>
        <v>11</v>
      </c>
      <c r="M10" s="36" t="e" vm="786">
        <f>IFERROR(INDEX(GemsImg[Icon], MATCH(_xlfn.CONCAT(Ascension_Stones4447[[#This Row],[Stone Name]],"Chunk"), GemsImg[Name], 0)), "")</f>
        <v>#VALUE!</v>
      </c>
      <c r="N10" s="36">
        <f>IFERROR(INDEX(GemsInv[Quantity], MATCH(Ascension_Stones4447[[#This Row],[Chunk6]], GemsInv[Icon], 0)), "")</f>
        <v>68</v>
      </c>
      <c r="O10" s="36" t="e" vm="788">
        <f>IFERROR(INDEX(GemsImg[Icon], MATCH(_xlfn.CONCAT(Ascension_Stones4447[[#This Row],[Stone Name]],"Fragment"), GemsImg[Name], 0)), "")</f>
        <v>#VALUE!</v>
      </c>
      <c r="P10" s="36">
        <f>IFERROR(INDEX(GemsInv[Quantity], MATCH(Ascension_Stones4447[[#This Row],[Fragment11]], GemsInv[Icon], 0)), "")</f>
        <v>140</v>
      </c>
      <c r="Q10" s="36" t="e" vm="789">
        <f>IFERROR(INDEX(GemsImg[Icon], MATCH(_xlfn.CONCAT(Ascension_Stones4447[[#This Row],[Stone Name]],"Silver"), GemsImg[Name], 0)), "")</f>
        <v>#VALUE!</v>
      </c>
      <c r="R10" s="158">
        <f>IFERROR(INDEX(GemsInv[Quantity], MATCH(Ascension_Stones4447[[#This Row],[Silver13]], GemsInv[Icon], 0)), "")</f>
        <v>121</v>
      </c>
      <c r="S10" s="153" t="e" vm="169">
        <f>IFERROR(INDEX(GemsImg[Icon], MATCH(_xlfn.CONCAT(Ascension_Stones4447[[#This Row],[Stone Name]],"Gemstone"), GemsImg[Name], 0)), "")</f>
        <v>#VALUE!</v>
      </c>
      <c r="T10" s="36">
        <f>Ascension_Stones4447[[#This Row],[Need to Farm1.1]]-Ascension_Stones4447[[#This Row],[Need to Farm2.1]]</f>
        <v>37</v>
      </c>
      <c r="U10" s="36" t="e" vm="786">
        <f>IFERROR(INDEX(GemsImg[Icon], MATCH(_xlfn.CONCAT(Ascension_Stones4447[[#This Row],[Stone Name]],"Chunk"), GemsImg[Name], 0)), "")</f>
        <v>#VALUE!</v>
      </c>
      <c r="V10" s="36">
        <f>Ascension_Stones4447[[#This Row],[Need to Farm1.2]]-Ascension_Stones4447[[#This Row],[Need to Farm2.2]]</f>
        <v>-5</v>
      </c>
      <c r="W10" s="36" t="e" vm="788">
        <f>IFERROR(INDEX(GemsImg[Icon], MATCH(_xlfn.CONCAT(Ascension_Stones4447[[#This Row],[Stone Name]],"Fragment"), GemsImg[Name], 0)), "")</f>
        <v>#VALUE!</v>
      </c>
      <c r="X10" s="36">
        <f>Ascension_Stones4447[[#This Row],[Need to Farm1.3]]-Ascension_Stones4447[[#This Row],[Need to Farm2.3]]</f>
        <v>-89</v>
      </c>
      <c r="Y10" s="36" t="e" vm="789">
        <f>IFERROR(INDEX(GemsImg[Icon], MATCH(_xlfn.CONCAT(Ascension_Stones4447[[#This Row],[Stone Name]],"Silver"), GemsImg[Name], 0)), "")</f>
        <v>#VALUE!</v>
      </c>
      <c r="Z10" s="158">
        <f>Ascension_Stones4447[[#This Row],[Need to Farm1.4]]-Ascension_Stones4447[[#This Row],[Need to Farm2.4]]</f>
        <v>-121</v>
      </c>
    </row>
    <row r="11" spans="1:26" ht="30" customHeight="1" thickBot="1" x14ac:dyDescent="0.3">
      <c r="A11" s="153">
        <f>SUBTOTAL(3,$B$4:Ascension_Stones4447[[#This Row],[Stone Name]])</f>
        <v>8</v>
      </c>
      <c r="B11" s="158" t="s">
        <v>779</v>
      </c>
      <c r="C11" s="159" t="e" vm="12">
        <f>IFERROR(INDEX(GemsImg[Icon], MATCH(_xlfn.CONCAT(Ascension_Stones4447[[#This Row],[Stone Name]],"Gemstone"), GemsImg[Name], 0)), "")</f>
        <v>#VALUE!</v>
      </c>
      <c r="D11" s="160">
        <f>SUMIF(Gemstone[Stone Type],Ascension_Stones4447[[#This Row],[Gemstone]],Gemstone[Gemstone])</f>
        <v>12</v>
      </c>
      <c r="E11" s="160" t="e" vm="794">
        <f>IFERROR(INDEX(GemsImg[Icon], MATCH(_xlfn.CONCAT(Ascension_Stones4447[[#This Row],[Stone Name]],"Chunk"), GemsImg[Name], 0)), "")</f>
        <v>#VALUE!</v>
      </c>
      <c r="F11" s="160">
        <f>SUMIF(Gemstone[Stone Type],Ascension_Stones4447[[#This Row],[Gemstone]],Gemstone[Chunk])</f>
        <v>18</v>
      </c>
      <c r="G11" s="160" t="e" vm="795">
        <f>IFERROR(INDEX(GemsImg[Icon], MATCH(_xlfn.CONCAT(Ascension_Stones4447[[#This Row],[Stone Name]],"Fragment"), GemsImg[Name], 0)), "")</f>
        <v>#VALUE!</v>
      </c>
      <c r="H11" s="160">
        <f>SUMIF(Gemstone[Stone Type],Ascension_Stones4447[[#This Row],[Gemstone]],Gemstone[Fragment])</f>
        <v>18</v>
      </c>
      <c r="I11" s="160" t="e" vm="797">
        <f>IFERROR(INDEX(GemsImg[Icon], MATCH(_xlfn.CONCAT(Ascension_Stones4447[[#This Row],[Stone Name]],"Silver"), GemsImg[Name], 0)), "")</f>
        <v>#VALUE!</v>
      </c>
      <c r="J11" s="161">
        <f>SUMIF(Gemstone[Stone Type],Ascension_Stones4447[[#This Row],[Gemstone]],Gemstone[Silver])</f>
        <v>0</v>
      </c>
      <c r="K11" s="159" t="e" vm="12">
        <f>IFERROR(INDEX(GemsImg[Icon], MATCH(_xlfn.CONCAT(Ascension_Stones4447[[#This Row],[Stone Name]],"Gemstone"), GemsImg[Name], 0)), "")</f>
        <v>#VALUE!</v>
      </c>
      <c r="L11" s="160">
        <f>IFERROR(INDEX(GemsInv[Quantity], MATCH(Ascension_Stones4447[[#This Row],[Gemstone2]], GemsInv[Icon], 0)), "")</f>
        <v>12</v>
      </c>
      <c r="M11" s="160" t="e" vm="794">
        <f>IFERROR(INDEX(GemsImg[Icon], MATCH(_xlfn.CONCAT(Ascension_Stones4447[[#This Row],[Stone Name]],"Chunk"), GemsImg[Name], 0)), "")</f>
        <v>#VALUE!</v>
      </c>
      <c r="N11" s="160">
        <f>IFERROR(INDEX(GemsInv[Quantity], MATCH(Ascension_Stones4447[[#This Row],[Chunk6]], GemsInv[Icon], 0)), "")</f>
        <v>81</v>
      </c>
      <c r="O11" s="160" t="e" vm="795">
        <f>IFERROR(INDEX(GemsImg[Icon], MATCH(_xlfn.CONCAT(Ascension_Stones4447[[#This Row],[Stone Name]],"Fragment"), GemsImg[Name], 0)), "")</f>
        <v>#VALUE!</v>
      </c>
      <c r="P11" s="160">
        <f>IFERROR(INDEX(GemsInv[Quantity], MATCH(Ascension_Stones4447[[#This Row],[Fragment11]], GemsInv[Icon], 0)), "")</f>
        <v>127</v>
      </c>
      <c r="Q11" s="160" t="e" vm="797">
        <f>IFERROR(INDEX(GemsImg[Icon], MATCH(_xlfn.CONCAT(Ascension_Stones4447[[#This Row],[Stone Name]],"Silver"), GemsImg[Name], 0)), "")</f>
        <v>#VALUE!</v>
      </c>
      <c r="R11" s="161">
        <f>IFERROR(INDEX(GemsInv[Quantity], MATCH(Ascension_Stones4447[[#This Row],[Silver13]], GemsInv[Icon], 0)), "")</f>
        <v>144</v>
      </c>
      <c r="S11" s="159" t="e" vm="12">
        <f>IFERROR(INDEX(GemsImg[Icon], MATCH(_xlfn.CONCAT(Ascension_Stones4447[[#This Row],[Stone Name]],"Gemstone"), GemsImg[Name], 0)), "")</f>
        <v>#VALUE!</v>
      </c>
      <c r="T11" s="160">
        <f>Ascension_Stones4447[[#This Row],[Need to Farm1.1]]-Ascension_Stones4447[[#This Row],[Need to Farm2.1]]</f>
        <v>0</v>
      </c>
      <c r="U11" s="160" t="e" vm="794">
        <f>IFERROR(INDEX(GemsImg[Icon], MATCH(_xlfn.CONCAT(Ascension_Stones4447[[#This Row],[Stone Name]],"Chunk"), GemsImg[Name], 0)), "")</f>
        <v>#VALUE!</v>
      </c>
      <c r="V11" s="160">
        <f>Ascension_Stones4447[[#This Row],[Need to Farm1.2]]-Ascension_Stones4447[[#This Row],[Need to Farm2.2]]</f>
        <v>-63</v>
      </c>
      <c r="W11" s="160" t="e" vm="795">
        <f>IFERROR(INDEX(GemsImg[Icon], MATCH(_xlfn.CONCAT(Ascension_Stones4447[[#This Row],[Stone Name]],"Fragment"), GemsImg[Name], 0)), "")</f>
        <v>#VALUE!</v>
      </c>
      <c r="X11" s="160">
        <f>Ascension_Stones4447[[#This Row],[Need to Farm1.3]]-Ascension_Stones4447[[#This Row],[Need to Farm2.3]]</f>
        <v>-109</v>
      </c>
      <c r="Y11" s="160" t="e" vm="797">
        <f>IFERROR(INDEX(GemsImg[Icon], MATCH(_xlfn.CONCAT(Ascension_Stones4447[[#This Row],[Stone Name]],"Silver"), GemsImg[Name], 0)), "")</f>
        <v>#VALUE!</v>
      </c>
      <c r="Z11" s="161">
        <f>Ascension_Stones4447[[#This Row],[Need to Farm1.4]]-Ascension_Stones4447[[#This Row],[Need to Farm2.4]]</f>
        <v>-144</v>
      </c>
    </row>
    <row r="12" spans="1:26" ht="30" customHeight="1" thickBot="1" x14ac:dyDescent="0.3">
      <c r="A12" s="159" t="s">
        <v>706</v>
      </c>
      <c r="B12" s="160" t="s">
        <v>706</v>
      </c>
      <c r="C12" s="162"/>
      <c r="D12" s="163">
        <f>SUMIF(Ascension_Stones4447[Need to Farm1.1],"&gt;=0")</f>
        <v>204</v>
      </c>
      <c r="E12" s="163"/>
      <c r="F12" s="163">
        <f>SUMIF(Ascension_Stones4447[Need to Farm1.2],"&gt;=0")</f>
        <v>264</v>
      </c>
      <c r="G12" s="163"/>
      <c r="H12" s="163">
        <f>SUMIF(Ascension_Stones4447[Need to Farm1.3],"&gt;=0")</f>
        <v>204</v>
      </c>
      <c r="I12" s="163"/>
      <c r="J12" s="164">
        <f>SUMIF(Ascension_Stones4447[Need to Farm1.4],"&gt;=0")</f>
        <v>1</v>
      </c>
      <c r="K12" s="162"/>
      <c r="L12" s="163">
        <f>SUMIF(Ascension_Stones4447[Need to Farm2.1],"&gt;=0")</f>
        <v>85</v>
      </c>
      <c r="M12" s="163"/>
      <c r="N12" s="163">
        <f>SUMIF(Ascension_Stones4447[Need to Farm2.2],"&gt;=0")</f>
        <v>330</v>
      </c>
      <c r="O12" s="163"/>
      <c r="P12" s="163">
        <f>SUMIF(Ascension_Stones4447[Need to Farm2.3],"&gt;=0")</f>
        <v>931</v>
      </c>
      <c r="Q12" s="163"/>
      <c r="R12" s="164">
        <f>SUMIF(Ascension_Stones4447[Need to Farm2.4],"&gt;=0")</f>
        <v>1002</v>
      </c>
      <c r="S12" s="162"/>
      <c r="T12" s="163">
        <f>SUMIF(Ascension_Stones4447[Need to Farm3.1],"&gt;=0")</f>
        <v>119</v>
      </c>
      <c r="U12" s="163"/>
      <c r="V12" s="163">
        <f>SUMIF(Ascension_Stones4447[Need to Farm3.2],"&gt;=0")</f>
        <v>16</v>
      </c>
      <c r="W12" s="163"/>
      <c r="X12" s="163">
        <f>SUMIF(Ascension_Stones4447[Need to Farm3.3],"&gt;=0")</f>
        <v>0</v>
      </c>
      <c r="Y12" s="163"/>
      <c r="Z12" s="164">
        <f>SUMIF(Ascension_Stones4447[Need to Farm3.4],"&gt;=0")</f>
        <v>0</v>
      </c>
    </row>
    <row r="13" spans="1:26" ht="30" customHeight="1" x14ac:dyDescent="0.25"/>
    <row r="14" spans="1:26" ht="30" customHeight="1" x14ac:dyDescent="0.25"/>
    <row r="15" spans="1:26" ht="30" customHeight="1" x14ac:dyDescent="0.25"/>
    <row r="16" spans="1:2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</sheetData>
  <mergeCells count="4">
    <mergeCell ref="C2:J2"/>
    <mergeCell ref="A1:Z1"/>
    <mergeCell ref="K2:R2"/>
    <mergeCell ref="S2:Z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5CF9-B2CB-47F3-A511-836FC48CDFCB}">
  <sheetPr codeName="Sheet7">
    <tabColor rgb="FFFFC000"/>
  </sheetPr>
  <dimension ref="A1:X46"/>
  <sheetViews>
    <sheetView zoomScaleNormal="100" workbookViewId="0">
      <selection activeCell="U5" sqref="U5"/>
    </sheetView>
  </sheetViews>
  <sheetFormatPr defaultColWidth="9.140625" defaultRowHeight="15.75" x14ac:dyDescent="0.25"/>
  <cols>
    <col min="1" max="1" width="9.140625" style="36" customWidth="1"/>
    <col min="2" max="2" width="25.140625" style="36" customWidth="1"/>
    <col min="3" max="5" width="17" style="36" hidden="1" customWidth="1"/>
    <col min="6" max="6" width="12.42578125" style="36" customWidth="1"/>
    <col min="7" max="24" width="8.5703125" style="36" customWidth="1"/>
    <col min="25" max="16384" width="9.140625" style="36"/>
  </cols>
  <sheetData>
    <row r="1" spans="1:24" ht="36" thickBot="1" x14ac:dyDescent="0.3">
      <c r="A1" s="209" t="s">
        <v>67</v>
      </c>
      <c r="B1" s="210"/>
      <c r="C1" s="210"/>
      <c r="D1" s="210"/>
      <c r="E1" s="210"/>
      <c r="F1" s="210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8"/>
    </row>
    <row r="2" spans="1:24" ht="31.5" x14ac:dyDescent="0.25">
      <c r="A2" s="193" t="s">
        <v>670</v>
      </c>
      <c r="B2" s="194" t="s">
        <v>771</v>
      </c>
      <c r="C2" s="167"/>
      <c r="D2" s="167"/>
      <c r="E2" s="167"/>
      <c r="F2" s="195" t="s">
        <v>672</v>
      </c>
      <c r="G2" s="213" t="s">
        <v>754</v>
      </c>
      <c r="H2" s="213"/>
      <c r="I2" s="213"/>
      <c r="J2" s="213"/>
      <c r="K2" s="213"/>
      <c r="L2" s="214"/>
      <c r="M2" s="212" t="s">
        <v>712</v>
      </c>
      <c r="N2" s="213"/>
      <c r="O2" s="213"/>
      <c r="P2" s="213"/>
      <c r="Q2" s="213"/>
      <c r="R2" s="214"/>
      <c r="S2" s="212" t="s">
        <v>713</v>
      </c>
      <c r="T2" s="213"/>
      <c r="U2" s="213"/>
      <c r="V2" s="213"/>
      <c r="W2" s="213"/>
      <c r="X2" s="214"/>
    </row>
    <row r="3" spans="1:24" s="43" customFormat="1" ht="15" customHeight="1" thickBot="1" x14ac:dyDescent="0.3">
      <c r="A3" s="187" t="s">
        <v>670</v>
      </c>
      <c r="B3" s="188" t="s">
        <v>771</v>
      </c>
      <c r="C3" s="188" t="s">
        <v>809</v>
      </c>
      <c r="D3" s="188" t="s">
        <v>810</v>
      </c>
      <c r="E3" s="188" t="s">
        <v>811</v>
      </c>
      <c r="F3" s="189" t="s">
        <v>672</v>
      </c>
      <c r="G3" s="188" t="s">
        <v>59</v>
      </c>
      <c r="H3" s="188" t="s">
        <v>791</v>
      </c>
      <c r="I3" s="188" t="s">
        <v>58</v>
      </c>
      <c r="J3" s="188" t="s">
        <v>841</v>
      </c>
      <c r="K3" s="188" t="s">
        <v>57</v>
      </c>
      <c r="L3" s="189" t="s">
        <v>792</v>
      </c>
      <c r="M3" s="187" t="s">
        <v>793</v>
      </c>
      <c r="N3" s="188" t="s">
        <v>794</v>
      </c>
      <c r="O3" s="188" t="s">
        <v>795</v>
      </c>
      <c r="P3" s="188" t="s">
        <v>842</v>
      </c>
      <c r="Q3" s="188" t="s">
        <v>796</v>
      </c>
      <c r="R3" s="189" t="s">
        <v>843</v>
      </c>
      <c r="S3" s="187" t="s">
        <v>797</v>
      </c>
      <c r="T3" s="188" t="s">
        <v>800</v>
      </c>
      <c r="U3" s="188" t="s">
        <v>798</v>
      </c>
      <c r="V3" s="188" t="s">
        <v>801</v>
      </c>
      <c r="W3" s="188" t="s">
        <v>799</v>
      </c>
      <c r="X3" s="189" t="s">
        <v>802</v>
      </c>
    </row>
    <row r="4" spans="1:24" ht="30" customHeight="1" x14ac:dyDescent="0.25">
      <c r="A4" s="153">
        <f>SUBTOTAL(3,$B$4:Monster_Materials[[#This Row],[Link to Interactive Map]])</f>
        <v>1</v>
      </c>
      <c r="B4" s="185" t="s">
        <v>86</v>
      </c>
      <c r="C4" s="36" t="s">
        <v>112</v>
      </c>
      <c r="D4" s="36" t="s">
        <v>99</v>
      </c>
      <c r="E4" s="36" t="s">
        <v>87</v>
      </c>
      <c r="F4" s="174">
        <v>1</v>
      </c>
      <c r="G4" s="192" t="e" vm="133">
        <f>IFERROR(INDEX(MonsterMaterialsImg[3*Icon], MATCH(Monster_Materials[[#This Row],[HelperName3*]], MonsterMaterialsImg[3*Name], 0)), "")</f>
        <v>#VALUE!</v>
      </c>
      <c r="H4" s="36">
        <f>(SUMIF(MonsterMaterials[Material Type],Monster_Materials[[#This Row],[3* Mats]],MonsterMaterials[3* (Asc)]))+(SUMIF(MonsterMaterials[Material Type],Monster_Materials[[#This Row],[3* Mats]],MonsterMaterials[3* (Tal)]))</f>
        <v>782</v>
      </c>
      <c r="I4" s="154" t="e" vm="723">
        <f>IFERROR(INDEX(MonsterMaterialsImg[2*Icon], MATCH(Monster_Materials[[#This Row],[HelperName2*]], MonsterMaterialsImg[2*Name], 0)), "")</f>
        <v>#VALUE!</v>
      </c>
      <c r="J4" s="36">
        <f>(SUMIF(MonsterMaterials[Material Type],Monster_Materials[[#This Row],[3* Mats]],MonsterMaterials[2* (Asc)]))+(SUMIF(MonsterMaterials[Material Type],Monster_Materials[[#This Row],[3* Mats]],MonsterMaterials[2* (Tal)]))</f>
        <v>459</v>
      </c>
      <c r="K4" s="154" t="e" vm="724">
        <f>IFERROR(INDEX(MonsterMaterialsImg[1*Icon], MATCH(Monster_Materials[[#This Row],[HelperName1*]], MonsterMaterialsImg[1*Name], 0)), "")</f>
        <v>#VALUE!</v>
      </c>
      <c r="L4" s="158">
        <f>(SUMIF(MonsterMaterials[Material Type],Monster_Materials[[#This Row],[3* Mats]],MonsterMaterials[1* (Asc)]))+(SUMIF(MonsterMaterials[Material Type],Monster_Materials[[#This Row],[3* Mats]],MonsterMaterials[1* (Tal)]))</f>
        <v>150</v>
      </c>
      <c r="M4" s="192" t="e" vm="133">
        <f>IFERROR(INDEX(MonsterMaterialsImg[3*Icon], MATCH(Monster_Materials[[#This Row],[HelperName3*]], MonsterMaterialsImg[3*Name], 0)), "")</f>
        <v>#VALUE!</v>
      </c>
      <c r="N4" s="36">
        <f>IFERROR(INDEX(MonsterMaterialsInv[3* Quantity], MATCH(Monster_Materials[[#This Row],[3* Mats2]], MonsterMaterialsInv[3* Icon], 0)), "")</f>
        <v>104</v>
      </c>
      <c r="O4" s="154" t="e" vm="723">
        <f>IFERROR(INDEX(MonsterMaterialsImg[2*Icon], MATCH(Monster_Materials[[#This Row],[HelperName2*]], MonsterMaterialsImg[2*Name], 0)), "")</f>
        <v>#VALUE!</v>
      </c>
      <c r="P4" s="36">
        <f>IFERROR(INDEX(MonsterMaterialsInv[2* Quantity], MATCH(Monster_Materials[[#This Row],[2* Mats2]], MonsterMaterialsInv[2* Icon], 0)), "")</f>
        <v>481</v>
      </c>
      <c r="Q4" s="154" t="e" vm="724">
        <f>IFERROR(INDEX(MonsterMaterialsImg[1*Icon], MATCH(Monster_Materials[[#This Row],[HelperName1*]], MonsterMaterialsImg[1*Name], 0)), "")</f>
        <v>#VALUE!</v>
      </c>
      <c r="R4" s="158">
        <f>IFERROR(INDEX(MonsterMaterialsInv[1* Quantity], MATCH(Monster_Materials[[#This Row],[1* Mats2]], MonsterMaterialsInv[1* Icon], 0)), "")</f>
        <v>2024</v>
      </c>
      <c r="S4" s="192" t="e" vm="133">
        <f>IFERROR(INDEX(MonsterMaterialsImg[3*Icon], MATCH(Monster_Materials[[#This Row],[HelperName3*]], MonsterMaterialsImg[3*Name], 0)), "")</f>
        <v>#VALUE!</v>
      </c>
      <c r="T4" s="36">
        <f>Monster_Materials[[#This Row],[Need1]]-Monster_Materials[[#This Row],[Acquired1]]</f>
        <v>678</v>
      </c>
      <c r="U4" s="154" t="e" vm="723">
        <f>IFERROR(INDEX(MonsterMaterialsImg[2*Icon], MATCH(Monster_Materials[[#This Row],[HelperName2*]], MonsterMaterialsImg[2*Name], 0)), "")</f>
        <v>#VALUE!</v>
      </c>
      <c r="V4" s="36">
        <f>Monster_Materials[[#This Row],[Need2]]-Monster_Materials[[#This Row],[Acquired2]]</f>
        <v>-22</v>
      </c>
      <c r="W4" s="154" t="e" vm="724">
        <f>IFERROR(INDEX(MonsterMaterialsImg[1*Icon], MATCH(Monster_Materials[[#This Row],[HelperName1*]], MonsterMaterialsImg[1*Name], 0)), "")</f>
        <v>#VALUE!</v>
      </c>
      <c r="X4" s="158">
        <f>Monster_Materials[[#This Row],[Need3]]-Monster_Materials[[#This Row],[Acquired3]]</f>
        <v>-1874</v>
      </c>
    </row>
    <row r="5" spans="1:24" ht="30" customHeight="1" x14ac:dyDescent="0.25">
      <c r="A5" s="153">
        <f>SUBTOTAL(3,$B$4:Monster_Materials[[#This Row],[Link to Interactive Map]])</f>
        <v>2</v>
      </c>
      <c r="B5" s="185" t="s">
        <v>126</v>
      </c>
      <c r="C5" s="36" t="s">
        <v>151</v>
      </c>
      <c r="D5" s="36" t="s">
        <v>139</v>
      </c>
      <c r="E5" s="36" t="s">
        <v>127</v>
      </c>
      <c r="F5" s="174">
        <v>1.01</v>
      </c>
      <c r="G5" s="192" t="e" vm="302">
        <f>IFERROR(INDEX(MonsterMaterialsImg[3*Icon], MATCH(Monster_Materials[[#This Row],[HelperName3*]], MonsterMaterialsImg[3*Name], 0)), "")</f>
        <v>#VALUE!</v>
      </c>
      <c r="H5" s="36">
        <f>(SUMIF(MonsterMaterials[Material Type],Monster_Materials[[#This Row],[3* Mats]],MonsterMaterials[3* (Asc)]))+(SUMIF(MonsterMaterials[Material Type],Monster_Materials[[#This Row],[3* Mats]],MonsterMaterials[3* (Tal)]))</f>
        <v>542</v>
      </c>
      <c r="I5" s="154" t="e" vm="735">
        <f>IFERROR(INDEX(MonsterMaterialsImg[2*Icon], MATCH(Monster_Materials[[#This Row],[HelperName2*]], MonsterMaterialsImg[2*Name], 0)), "")</f>
        <v>#VALUE!</v>
      </c>
      <c r="J5" s="36">
        <f>(SUMIF(MonsterMaterials[Material Type],Monster_Materials[[#This Row],[3* Mats]],MonsterMaterials[2* (Asc)]))+(SUMIF(MonsterMaterials[Material Type],Monster_Materials[[#This Row],[3* Mats]],MonsterMaterials[2* (Tal)]))</f>
        <v>386</v>
      </c>
      <c r="K5" s="154" t="e" vm="736">
        <f>IFERROR(INDEX(MonsterMaterialsImg[1*Icon], MATCH(Monster_Materials[[#This Row],[HelperName1*]], MonsterMaterialsImg[1*Name], 0)), "")</f>
        <v>#VALUE!</v>
      </c>
      <c r="L5" s="158">
        <f>(SUMIF(MonsterMaterials[Material Type],Monster_Materials[[#This Row],[3* Mats]],MonsterMaterials[1* (Asc)]))+(SUMIF(MonsterMaterials[Material Type],Monster_Materials[[#This Row],[3* Mats]],MonsterMaterials[1* (Tal)]))</f>
        <v>81</v>
      </c>
      <c r="M5" s="192" t="e" vm="302">
        <f>IFERROR(INDEX(MonsterMaterialsImg[3*Icon], MATCH(Monster_Materials[[#This Row],[HelperName3*]], MonsterMaterialsImg[3*Name], 0)), "")</f>
        <v>#VALUE!</v>
      </c>
      <c r="N5" s="36">
        <f>IFERROR(INDEX(MonsterMaterialsInv[3* Quantity], MATCH(Monster_Materials[[#This Row],[3* Mats2]], MonsterMaterialsInv[3* Icon], 0)), "")</f>
        <v>29</v>
      </c>
      <c r="O5" s="154" t="e" vm="735">
        <f>IFERROR(INDEX(MonsterMaterialsImg[2*Icon], MATCH(Monster_Materials[[#This Row],[HelperName2*]], MonsterMaterialsImg[2*Name], 0)), "")</f>
        <v>#VALUE!</v>
      </c>
      <c r="P5" s="36">
        <f>IFERROR(INDEX(MonsterMaterialsInv[2* Quantity], MATCH(Monster_Materials[[#This Row],[2* Mats2]], MonsterMaterialsInv[2* Icon], 0)), "")</f>
        <v>175</v>
      </c>
      <c r="Q5" s="154" t="e" vm="736">
        <f>IFERROR(INDEX(MonsterMaterialsImg[1*Icon], MATCH(Monster_Materials[[#This Row],[HelperName1*]], MonsterMaterialsImg[1*Name], 0)), "")</f>
        <v>#VALUE!</v>
      </c>
      <c r="R5" s="158">
        <f>IFERROR(INDEX(MonsterMaterialsInv[1* Quantity], MATCH(Monster_Materials[[#This Row],[1* Mats2]], MonsterMaterialsInv[1* Icon], 0)), "")</f>
        <v>1564</v>
      </c>
      <c r="S5" s="192" t="e" vm="302">
        <f>IFERROR(INDEX(MonsterMaterialsImg[3*Icon], MATCH(Monster_Materials[[#This Row],[HelperName3*]], MonsterMaterialsImg[3*Name], 0)), "")</f>
        <v>#VALUE!</v>
      </c>
      <c r="T5" s="36">
        <f>Monster_Materials[[#This Row],[Need1]]-Monster_Materials[[#This Row],[Acquired1]]</f>
        <v>513</v>
      </c>
      <c r="U5" s="154" t="e" vm="735">
        <f>IFERROR(INDEX(MonsterMaterialsImg[2*Icon], MATCH(Monster_Materials[[#This Row],[HelperName2*]], MonsterMaterialsImg[2*Name], 0)), "")</f>
        <v>#VALUE!</v>
      </c>
      <c r="V5" s="36">
        <f>Monster_Materials[[#This Row],[Need2]]-Monster_Materials[[#This Row],[Acquired2]]</f>
        <v>211</v>
      </c>
      <c r="W5" s="154" t="e" vm="736">
        <f>IFERROR(INDEX(MonsterMaterialsImg[1*Icon], MATCH(Monster_Materials[[#This Row],[HelperName1*]], MonsterMaterialsImg[1*Name], 0)), "")</f>
        <v>#VALUE!</v>
      </c>
      <c r="X5" s="158">
        <f>Monster_Materials[[#This Row],[Need3]]-Monster_Materials[[#This Row],[Acquired3]]</f>
        <v>-1483</v>
      </c>
    </row>
    <row r="6" spans="1:24" ht="30" customHeight="1" x14ac:dyDescent="0.25">
      <c r="A6" s="153">
        <f>SUBTOTAL(3,$B$4:Monster_Materials[[#This Row],[Link to Interactive Map]])</f>
        <v>3</v>
      </c>
      <c r="B6" s="185" t="s">
        <v>163</v>
      </c>
      <c r="C6" s="36" t="s">
        <v>184</v>
      </c>
      <c r="D6" s="36" t="s">
        <v>175</v>
      </c>
      <c r="E6" s="36" t="s">
        <v>164</v>
      </c>
      <c r="F6" s="174">
        <v>1.02</v>
      </c>
      <c r="G6" s="192" t="e" vm="10">
        <f>IFERROR(INDEX(MonsterMaterialsImg[3*Icon], MATCH(Monster_Materials[[#This Row],[HelperName3*]], MonsterMaterialsImg[3*Name], 0)), "")</f>
        <v>#VALUE!</v>
      </c>
      <c r="H6" s="36">
        <f>(SUMIF(MonsterMaterials[Material Type],Monster_Materials[[#This Row],[3* Mats]],MonsterMaterials[3* (Asc)]))+(SUMIF(MonsterMaterials[Material Type],Monster_Materials[[#This Row],[3* Mats]],MonsterMaterials[3* (Tal)]))</f>
        <v>600</v>
      </c>
      <c r="I6" s="154" t="e" vm="729">
        <f>IFERROR(INDEX(MonsterMaterialsImg[2*Icon], MATCH(Monster_Materials[[#This Row],[HelperName2*]], MonsterMaterialsImg[2*Name], 0)), "")</f>
        <v>#VALUE!</v>
      </c>
      <c r="J6" s="36">
        <f>(SUMIF(MonsterMaterials[Material Type],Monster_Materials[[#This Row],[3* Mats]],MonsterMaterials[2* (Asc)]))+(SUMIF(MonsterMaterials[Material Type],Monster_Materials[[#This Row],[3* Mats]],MonsterMaterials[2* (Tal)]))</f>
        <v>278</v>
      </c>
      <c r="K6" s="154" t="e" vm="730">
        <f>IFERROR(INDEX(MonsterMaterialsImg[1*Icon], MATCH(Monster_Materials[[#This Row],[HelperName1*]], MonsterMaterialsImg[1*Name], 0)), "")</f>
        <v>#VALUE!</v>
      </c>
      <c r="L6" s="158">
        <f>(SUMIF(MonsterMaterials[Material Type],Monster_Materials[[#This Row],[3* Mats]],MonsterMaterials[1* (Asc)]))+(SUMIF(MonsterMaterials[Material Type],Monster_Materials[[#This Row],[3* Mats]],MonsterMaterials[1* (Tal)]))</f>
        <v>60</v>
      </c>
      <c r="M6" s="192" t="e" vm="10">
        <f>IFERROR(INDEX(MonsterMaterialsImg[3*Icon], MATCH(Monster_Materials[[#This Row],[HelperName3*]], MonsterMaterialsImg[3*Name], 0)), "")</f>
        <v>#VALUE!</v>
      </c>
      <c r="N6" s="36">
        <f>IFERROR(INDEX(MonsterMaterialsInv[3* Quantity], MATCH(Monster_Materials[[#This Row],[3* Mats2]], MonsterMaterialsInv[3* Icon], 0)), "")</f>
        <v>8</v>
      </c>
      <c r="O6" s="154" t="e" vm="729">
        <f>IFERROR(INDEX(MonsterMaterialsImg[2*Icon], MATCH(Monster_Materials[[#This Row],[HelperName2*]], MonsterMaterialsImg[2*Name], 0)), "")</f>
        <v>#VALUE!</v>
      </c>
      <c r="P6" s="36">
        <f>IFERROR(INDEX(MonsterMaterialsInv[2* Quantity], MATCH(Monster_Materials[[#This Row],[2* Mats2]], MonsterMaterialsInv[2* Icon], 0)), "")</f>
        <v>55</v>
      </c>
      <c r="Q6" s="154" t="e" vm="730">
        <f>IFERROR(INDEX(MonsterMaterialsImg[1*Icon], MATCH(Monster_Materials[[#This Row],[HelperName1*]], MonsterMaterialsImg[1*Name], 0)), "")</f>
        <v>#VALUE!</v>
      </c>
      <c r="R6" s="158">
        <f>IFERROR(INDEX(MonsterMaterialsInv[1* Quantity], MATCH(Monster_Materials[[#This Row],[1* Mats2]], MonsterMaterialsInv[1* Icon], 0)), "")</f>
        <v>2035</v>
      </c>
      <c r="S6" s="192" t="e" vm="10">
        <f>IFERROR(INDEX(MonsterMaterialsImg[3*Icon], MATCH(Monster_Materials[[#This Row],[HelperName3*]], MonsterMaterialsImg[3*Name], 0)), "")</f>
        <v>#VALUE!</v>
      </c>
      <c r="T6" s="36">
        <f>Monster_Materials[[#This Row],[Need1]]-Monster_Materials[[#This Row],[Acquired1]]</f>
        <v>592</v>
      </c>
      <c r="U6" s="154" t="e" vm="729">
        <f>IFERROR(INDEX(MonsterMaterialsImg[2*Icon], MATCH(Monster_Materials[[#This Row],[HelperName2*]], MonsterMaterialsImg[2*Name], 0)), "")</f>
        <v>#VALUE!</v>
      </c>
      <c r="V6" s="36">
        <f>Monster_Materials[[#This Row],[Need2]]-Monster_Materials[[#This Row],[Acquired2]]</f>
        <v>223</v>
      </c>
      <c r="W6" s="154" t="e" vm="730">
        <f>IFERROR(INDEX(MonsterMaterialsImg[1*Icon], MATCH(Monster_Materials[[#This Row],[HelperName1*]], MonsterMaterialsImg[1*Name], 0)), "")</f>
        <v>#VALUE!</v>
      </c>
      <c r="X6" s="158">
        <f>Monster_Materials[[#This Row],[Need3]]-Monster_Materials[[#This Row],[Acquired3]]</f>
        <v>-1975</v>
      </c>
    </row>
    <row r="7" spans="1:24" ht="30" customHeight="1" x14ac:dyDescent="0.25">
      <c r="A7" s="153">
        <f>SUBTOTAL(3,$B$4:Monster_Materials[[#This Row],[Link to Interactive Map]])</f>
        <v>4</v>
      </c>
      <c r="B7" s="185" t="s">
        <v>194</v>
      </c>
      <c r="C7" s="36" t="s">
        <v>213</v>
      </c>
      <c r="D7" s="36" t="s">
        <v>204</v>
      </c>
      <c r="E7" s="36" t="s">
        <v>195</v>
      </c>
      <c r="F7" s="174">
        <v>1.03</v>
      </c>
      <c r="G7" s="192" t="e" vm="462">
        <f>IFERROR(INDEX(MonsterMaterialsImg[3*Icon], MATCH(Monster_Materials[[#This Row],[HelperName3*]], MonsterMaterialsImg[3*Name], 0)), "")</f>
        <v>#VALUE!</v>
      </c>
      <c r="H7" s="36">
        <f>(SUMIF(MonsterMaterials[Material Type],Monster_Materials[[#This Row],[3* Mats]],MonsterMaterials[3* (Asc)]))+(SUMIF(MonsterMaterials[Material Type],Monster_Materials[[#This Row],[3* Mats]],MonsterMaterials[3* (Tal)]))</f>
        <v>540</v>
      </c>
      <c r="I7" s="154" t="e" vm="719">
        <f>IFERROR(INDEX(MonsterMaterialsImg[2*Icon], MATCH(Monster_Materials[[#This Row],[HelperName2*]], MonsterMaterialsImg[2*Name], 0)), "")</f>
        <v>#VALUE!</v>
      </c>
      <c r="J7" s="36">
        <f>(SUMIF(MonsterMaterials[Material Type],Monster_Materials[[#This Row],[3* Mats]],MonsterMaterials[2* (Asc)]))+(SUMIF(MonsterMaterials[Material Type],Monster_Materials[[#This Row],[3* Mats]],MonsterMaterials[2* (Tal)]))</f>
        <v>324</v>
      </c>
      <c r="K7" s="154" t="e" vm="720">
        <f>IFERROR(INDEX(MonsterMaterialsImg[1*Icon], MATCH(Monster_Materials[[#This Row],[HelperName1*]], MonsterMaterialsImg[1*Name], 0)), "")</f>
        <v>#VALUE!</v>
      </c>
      <c r="L7" s="158">
        <f>(SUMIF(MonsterMaterials[Material Type],Monster_Materials[[#This Row],[3* Mats]],MonsterMaterials[1* (Asc)]))+(SUMIF(MonsterMaterials[Material Type],Monster_Materials[[#This Row],[3* Mats]],MonsterMaterials[1* (Tal)]))</f>
        <v>102</v>
      </c>
      <c r="M7" s="192" t="e" vm="462">
        <f>IFERROR(INDEX(MonsterMaterialsImg[3*Icon], MATCH(Monster_Materials[[#This Row],[HelperName3*]], MonsterMaterialsImg[3*Name], 0)), "")</f>
        <v>#VALUE!</v>
      </c>
      <c r="N7" s="36">
        <f>IFERROR(INDEX(MonsterMaterialsInv[3* Quantity], MATCH(Monster_Materials[[#This Row],[3* Mats2]], MonsterMaterialsInv[3* Icon], 0)), "")</f>
        <v>255</v>
      </c>
      <c r="O7" s="154" t="e" vm="719">
        <f>IFERROR(INDEX(MonsterMaterialsImg[2*Icon], MATCH(Monster_Materials[[#This Row],[HelperName2*]], MonsterMaterialsImg[2*Name], 0)), "")</f>
        <v>#VALUE!</v>
      </c>
      <c r="P7" s="36">
        <f>IFERROR(INDEX(MonsterMaterialsInv[2* Quantity], MATCH(Monster_Materials[[#This Row],[2* Mats2]], MonsterMaterialsInv[2* Icon], 0)), "")</f>
        <v>133</v>
      </c>
      <c r="Q7" s="154" t="e" vm="720">
        <f>IFERROR(INDEX(MonsterMaterialsImg[1*Icon], MATCH(Monster_Materials[[#This Row],[HelperName1*]], MonsterMaterialsImg[1*Name], 0)), "")</f>
        <v>#VALUE!</v>
      </c>
      <c r="R7" s="158">
        <f>IFERROR(INDEX(MonsterMaterialsInv[1* Quantity], MATCH(Monster_Materials[[#This Row],[1* Mats2]], MonsterMaterialsInv[1* Icon], 0)), "")</f>
        <v>235</v>
      </c>
      <c r="S7" s="192" t="e" vm="462">
        <f>IFERROR(INDEX(MonsterMaterialsImg[3*Icon], MATCH(Monster_Materials[[#This Row],[HelperName3*]], MonsterMaterialsImg[3*Name], 0)), "")</f>
        <v>#VALUE!</v>
      </c>
      <c r="T7" s="36">
        <f>Monster_Materials[[#This Row],[Need1]]-Monster_Materials[[#This Row],[Acquired1]]</f>
        <v>285</v>
      </c>
      <c r="U7" s="154" t="e" vm="719">
        <f>IFERROR(INDEX(MonsterMaterialsImg[2*Icon], MATCH(Monster_Materials[[#This Row],[HelperName2*]], MonsterMaterialsImg[2*Name], 0)), "")</f>
        <v>#VALUE!</v>
      </c>
      <c r="V7" s="36">
        <f>Monster_Materials[[#This Row],[Need2]]-Monster_Materials[[#This Row],[Acquired2]]</f>
        <v>191</v>
      </c>
      <c r="W7" s="154" t="e" vm="720">
        <f>IFERROR(INDEX(MonsterMaterialsImg[1*Icon], MATCH(Monster_Materials[[#This Row],[HelperName1*]], MonsterMaterialsImg[1*Name], 0)), "")</f>
        <v>#VALUE!</v>
      </c>
      <c r="X7" s="158">
        <f>Monster_Materials[[#This Row],[Need3]]-Monster_Materials[[#This Row],[Acquired3]]</f>
        <v>-133</v>
      </c>
    </row>
    <row r="8" spans="1:24" ht="30" customHeight="1" x14ac:dyDescent="0.25">
      <c r="A8" s="153">
        <f>SUBTOTAL(3,$B$4:Monster_Materials[[#This Row],[Link to Interactive Map]])</f>
        <v>5</v>
      </c>
      <c r="B8" s="185" t="s">
        <v>223</v>
      </c>
      <c r="C8" s="36" t="s">
        <v>242</v>
      </c>
      <c r="D8" s="36" t="s">
        <v>233</v>
      </c>
      <c r="E8" s="36" t="s">
        <v>224</v>
      </c>
      <c r="F8" s="174">
        <v>1.04</v>
      </c>
      <c r="G8" s="192" t="e" vm="54">
        <f>IFERROR(INDEX(MonsterMaterialsImg[3*Icon], MATCH(Monster_Materials[[#This Row],[HelperName3*]], MonsterMaterialsImg[3*Name], 0)), "")</f>
        <v>#VALUE!</v>
      </c>
      <c r="H8" s="36">
        <f>(SUMIF(MonsterMaterials[Material Type],Monster_Materials[[#This Row],[3* Mats]],MonsterMaterials[3* (Asc)]))+(SUMIF(MonsterMaterials[Material Type],Monster_Materials[[#This Row],[3* Mats]],MonsterMaterials[3* (Tal)]))</f>
        <v>875</v>
      </c>
      <c r="I8" s="154" t="e" vm="741">
        <f>IFERROR(INDEX(MonsterMaterialsImg[2*Icon], MATCH(Monster_Materials[[#This Row],[HelperName2*]], MonsterMaterialsImg[2*Name], 0)), "")</f>
        <v>#VALUE!</v>
      </c>
      <c r="J8" s="36">
        <f>(SUMIF(MonsterMaterials[Material Type],Monster_Materials[[#This Row],[3* Mats]],MonsterMaterials[2* (Asc)]))+(SUMIF(MonsterMaterials[Material Type],Monster_Materials[[#This Row],[3* Mats]],MonsterMaterials[2* (Tal)]))</f>
        <v>545</v>
      </c>
      <c r="K8" s="154" t="e" vm="742">
        <f>IFERROR(INDEX(MonsterMaterialsImg[1*Icon], MATCH(Monster_Materials[[#This Row],[HelperName1*]], MonsterMaterialsImg[1*Name], 0)), "")</f>
        <v>#VALUE!</v>
      </c>
      <c r="L8" s="158">
        <f>(SUMIF(MonsterMaterials[Material Type],Monster_Materials[[#This Row],[3* Mats]],MonsterMaterials[1* (Asc)]))+(SUMIF(MonsterMaterials[Material Type],Monster_Materials[[#This Row],[3* Mats]],MonsterMaterials[1* (Tal)]))</f>
        <v>147</v>
      </c>
      <c r="M8" s="192" t="e" vm="54">
        <f>IFERROR(INDEX(MonsterMaterialsImg[3*Icon], MATCH(Monster_Materials[[#This Row],[HelperName3*]], MonsterMaterialsImg[3*Name], 0)), "")</f>
        <v>#VALUE!</v>
      </c>
      <c r="N8" s="36">
        <f>IFERROR(INDEX(MonsterMaterialsInv[3* Quantity], MATCH(Monster_Materials[[#This Row],[3* Mats2]], MonsterMaterialsInv[3* Icon], 0)), "")</f>
        <v>76</v>
      </c>
      <c r="O8" s="154" t="e" vm="741">
        <f>IFERROR(INDEX(MonsterMaterialsImg[2*Icon], MATCH(Monster_Materials[[#This Row],[HelperName2*]], MonsterMaterialsImg[2*Name], 0)), "")</f>
        <v>#VALUE!</v>
      </c>
      <c r="P8" s="36">
        <f>IFERROR(INDEX(MonsterMaterialsInv[2* Quantity], MATCH(Monster_Materials[[#This Row],[2* Mats2]], MonsterMaterialsInv[2* Icon], 0)), "")</f>
        <v>359</v>
      </c>
      <c r="Q8" s="154" t="e" vm="742">
        <f>IFERROR(INDEX(MonsterMaterialsImg[1*Icon], MATCH(Monster_Materials[[#This Row],[HelperName1*]], MonsterMaterialsImg[1*Name], 0)), "")</f>
        <v>#VALUE!</v>
      </c>
      <c r="R8" s="158">
        <f>IFERROR(INDEX(MonsterMaterialsInv[1* Quantity], MATCH(Monster_Materials[[#This Row],[1* Mats2]], MonsterMaterialsInv[1* Icon], 0)), "")</f>
        <v>2846</v>
      </c>
      <c r="S8" s="192" t="e" vm="54">
        <f>IFERROR(INDEX(MonsterMaterialsImg[3*Icon], MATCH(Monster_Materials[[#This Row],[HelperName3*]], MonsterMaterialsImg[3*Name], 0)), "")</f>
        <v>#VALUE!</v>
      </c>
      <c r="T8" s="36">
        <f>Monster_Materials[[#This Row],[Need1]]-Monster_Materials[[#This Row],[Acquired1]]</f>
        <v>799</v>
      </c>
      <c r="U8" s="154" t="e" vm="741">
        <f>IFERROR(INDEX(MonsterMaterialsImg[2*Icon], MATCH(Monster_Materials[[#This Row],[HelperName2*]], MonsterMaterialsImg[2*Name], 0)), "")</f>
        <v>#VALUE!</v>
      </c>
      <c r="V8" s="36">
        <f>Monster_Materials[[#This Row],[Need2]]-Monster_Materials[[#This Row],[Acquired2]]</f>
        <v>186</v>
      </c>
      <c r="W8" s="154" t="e" vm="742">
        <f>IFERROR(INDEX(MonsterMaterialsImg[1*Icon], MATCH(Monster_Materials[[#This Row],[HelperName1*]], MonsterMaterialsImg[1*Name], 0)), "")</f>
        <v>#VALUE!</v>
      </c>
      <c r="X8" s="158">
        <f>Monster_Materials[[#This Row],[Need3]]-Monster_Materials[[#This Row],[Acquired3]]</f>
        <v>-2699</v>
      </c>
    </row>
    <row r="9" spans="1:24" ht="30" customHeight="1" x14ac:dyDescent="0.25">
      <c r="A9" s="153">
        <f>SUBTOTAL(3,$B$4:Monster_Materials[[#This Row],[Link to Interactive Map]])</f>
        <v>6</v>
      </c>
      <c r="B9" s="185" t="s">
        <v>252</v>
      </c>
      <c r="C9" s="36" t="s">
        <v>271</v>
      </c>
      <c r="D9" s="36" t="s">
        <v>262</v>
      </c>
      <c r="E9" s="36" t="s">
        <v>253</v>
      </c>
      <c r="F9" s="154">
        <v>1.0409999999999999</v>
      </c>
      <c r="G9" s="192" t="e" vm="435">
        <f>IFERROR(INDEX(MonsterMaterialsImg[3*Icon], MATCH(Monster_Materials[[#This Row],[HelperName3*]], MonsterMaterialsImg[3*Name], 0)), "")</f>
        <v>#VALUE!</v>
      </c>
      <c r="H9" s="36">
        <f>(SUMIF(MonsterMaterials[Material Type],Monster_Materials[[#This Row],[3* Mats]],MonsterMaterials[3* (Asc)]))+(SUMIF(MonsterMaterials[Material Type],Monster_Materials[[#This Row],[3* Mats]],MonsterMaterials[3* (Tal)]))</f>
        <v>514</v>
      </c>
      <c r="I9" s="154" t="e" vm="738">
        <f>IFERROR(INDEX(MonsterMaterialsImg[2*Icon], MATCH(Monster_Materials[[#This Row],[HelperName2*]], MonsterMaterialsImg[2*Name], 0)), "")</f>
        <v>#VALUE!</v>
      </c>
      <c r="J9" s="36">
        <f>(SUMIF(MonsterMaterials[Material Type],Monster_Materials[[#This Row],[3* Mats]],MonsterMaterials[2* (Asc)]))+(SUMIF(MonsterMaterials[Material Type],Monster_Materials[[#This Row],[3* Mats]],MonsterMaterials[2* (Tal)]))</f>
        <v>298</v>
      </c>
      <c r="K9" s="154" t="e" vm="739">
        <f>IFERROR(INDEX(MonsterMaterialsImg[1*Icon], MATCH(Monster_Materials[[#This Row],[HelperName1*]], MonsterMaterialsImg[1*Name], 0)), "")</f>
        <v>#VALUE!</v>
      </c>
      <c r="L9" s="158">
        <f>(SUMIF(MonsterMaterials[Material Type],Monster_Materials[[#This Row],[3* Mats]],MonsterMaterials[1* (Asc)]))+(SUMIF(MonsterMaterials[Material Type],Monster_Materials[[#This Row],[3* Mats]],MonsterMaterials[1* (Tal)]))</f>
        <v>90</v>
      </c>
      <c r="M9" s="192" t="e" vm="435">
        <f>IFERROR(INDEX(MonsterMaterialsImg[3*Icon], MATCH(Monster_Materials[[#This Row],[HelperName3*]], MonsterMaterialsImg[3*Name], 0)), "")</f>
        <v>#VALUE!</v>
      </c>
      <c r="N9" s="36">
        <f>IFERROR(INDEX(MonsterMaterialsInv[3* Quantity], MATCH(Monster_Materials[[#This Row],[3* Mats2]], MonsterMaterialsInv[3* Icon], 0)), "")</f>
        <v>234</v>
      </c>
      <c r="O9" s="154" t="e" vm="738">
        <f>IFERROR(INDEX(MonsterMaterialsImg[2*Icon], MATCH(Monster_Materials[[#This Row],[HelperName2*]], MonsterMaterialsImg[2*Name], 0)), "")</f>
        <v>#VALUE!</v>
      </c>
      <c r="P9" s="36">
        <f>IFERROR(INDEX(MonsterMaterialsInv[2* Quantity], MATCH(Monster_Materials[[#This Row],[2* Mats2]], MonsterMaterialsInv[2* Icon], 0)), "")</f>
        <v>273</v>
      </c>
      <c r="Q9" s="154" t="e" vm="739">
        <f>IFERROR(INDEX(MonsterMaterialsImg[1*Icon], MATCH(Monster_Materials[[#This Row],[HelperName1*]], MonsterMaterialsImg[1*Name], 0)), "")</f>
        <v>#VALUE!</v>
      </c>
      <c r="R9" s="158">
        <f>IFERROR(INDEX(MonsterMaterialsInv[1* Quantity], MATCH(Monster_Materials[[#This Row],[1* Mats2]], MonsterMaterialsInv[1* Icon], 0)), "")</f>
        <v>1869</v>
      </c>
      <c r="S9" s="192" t="e" vm="435">
        <f>IFERROR(INDEX(MonsterMaterialsImg[3*Icon], MATCH(Monster_Materials[[#This Row],[HelperName3*]], MonsterMaterialsImg[3*Name], 0)), "")</f>
        <v>#VALUE!</v>
      </c>
      <c r="T9" s="36">
        <f>Monster_Materials[[#This Row],[Need1]]-Monster_Materials[[#This Row],[Acquired1]]</f>
        <v>280</v>
      </c>
      <c r="U9" s="154" t="e" vm="738">
        <f>IFERROR(INDEX(MonsterMaterialsImg[2*Icon], MATCH(Monster_Materials[[#This Row],[HelperName2*]], MonsterMaterialsImg[2*Name], 0)), "")</f>
        <v>#VALUE!</v>
      </c>
      <c r="V9" s="36">
        <f>Monster_Materials[[#This Row],[Need2]]-Monster_Materials[[#This Row],[Acquired2]]</f>
        <v>25</v>
      </c>
      <c r="W9" s="154" t="e" vm="739">
        <f>IFERROR(INDEX(MonsterMaterialsImg[1*Icon], MATCH(Monster_Materials[[#This Row],[HelperName1*]], MonsterMaterialsImg[1*Name], 0)), "")</f>
        <v>#VALUE!</v>
      </c>
      <c r="X9" s="158">
        <f>Monster_Materials[[#This Row],[Need3]]-Monster_Materials[[#This Row],[Acquired3]]</f>
        <v>-1779</v>
      </c>
    </row>
    <row r="10" spans="1:24" ht="30" customHeight="1" x14ac:dyDescent="0.25">
      <c r="A10" s="153">
        <f>SUBTOTAL(3,$B$4:Monster_Materials[[#This Row],[Link to Interactive Map]])</f>
        <v>7</v>
      </c>
      <c r="B10" s="185" t="s">
        <v>280</v>
      </c>
      <c r="C10" s="36" t="s">
        <v>299</v>
      </c>
      <c r="D10" s="36" t="s">
        <v>290</v>
      </c>
      <c r="E10" s="36" t="s">
        <v>281</v>
      </c>
      <c r="F10" s="154">
        <v>1.042</v>
      </c>
      <c r="G10" s="192" t="e" vm="115">
        <f>IFERROR(INDEX(MonsterMaterialsImg[3*Icon], MATCH(Monster_Materials[[#This Row],[HelperName3*]], MonsterMaterialsImg[3*Name], 0)), "")</f>
        <v>#VALUE!</v>
      </c>
      <c r="H10" s="36">
        <f>(SUMIF(MonsterMaterials[Material Type],Monster_Materials[[#This Row],[3* Mats]],MonsterMaterials[3* (Asc)]))+(SUMIF(MonsterMaterials[Material Type],Monster_Materials[[#This Row],[3* Mats]],MonsterMaterials[3* (Tal)]))</f>
        <v>479</v>
      </c>
      <c r="I10" s="154" t="e" vm="745">
        <f>IFERROR(INDEX(MonsterMaterialsImg[2*Icon], MATCH(Monster_Materials[[#This Row],[HelperName2*]], MonsterMaterialsImg[2*Name], 0)), "")</f>
        <v>#VALUE!</v>
      </c>
      <c r="J10" s="36">
        <f>(SUMIF(MonsterMaterials[Material Type],Monster_Materials[[#This Row],[3* Mats]],MonsterMaterials[2* (Asc)]))+(SUMIF(MonsterMaterials[Material Type],Monster_Materials[[#This Row],[3* Mats]],MonsterMaterials[2* (Tal)]))</f>
        <v>224</v>
      </c>
      <c r="K10" s="154" t="e" vm="746">
        <f>IFERROR(INDEX(MonsterMaterialsImg[1*Icon], MATCH(Monster_Materials[[#This Row],[HelperName1*]], MonsterMaterialsImg[1*Name], 0)), "")</f>
        <v>#VALUE!</v>
      </c>
      <c r="L10" s="158">
        <f>(SUMIF(MonsterMaterials[Material Type],Monster_Materials[[#This Row],[3* Mats]],MonsterMaterials[1* (Asc)]))+(SUMIF(MonsterMaterials[Material Type],Monster_Materials[[#This Row],[3* Mats]],MonsterMaterials[1* (Tal)]))</f>
        <v>63</v>
      </c>
      <c r="M10" s="192" t="e" vm="115">
        <f>IFERROR(INDEX(MonsterMaterialsImg[3*Icon], MATCH(Monster_Materials[[#This Row],[HelperName3*]], MonsterMaterialsImg[3*Name], 0)), "")</f>
        <v>#VALUE!</v>
      </c>
      <c r="N10" s="36">
        <f>IFERROR(INDEX(MonsterMaterialsInv[3* Quantity], MATCH(Monster_Materials[[#This Row],[3* Mats2]], MonsterMaterialsInv[3* Icon], 0)), "")</f>
        <v>37</v>
      </c>
      <c r="O10" s="154" t="e" vm="745">
        <f>IFERROR(INDEX(MonsterMaterialsImg[2*Icon], MATCH(Monster_Materials[[#This Row],[HelperName2*]], MonsterMaterialsImg[2*Name], 0)), "")</f>
        <v>#VALUE!</v>
      </c>
      <c r="P10" s="36">
        <f>IFERROR(INDEX(MonsterMaterialsInv[2* Quantity], MATCH(Monster_Materials[[#This Row],[2* Mats2]], MonsterMaterialsInv[2* Icon], 0)), "")</f>
        <v>103</v>
      </c>
      <c r="Q10" s="154" t="e" vm="746">
        <f>IFERROR(INDEX(MonsterMaterialsImg[1*Icon], MATCH(Monster_Materials[[#This Row],[HelperName1*]], MonsterMaterialsImg[1*Name], 0)), "")</f>
        <v>#VALUE!</v>
      </c>
      <c r="R10" s="158">
        <f>IFERROR(INDEX(MonsterMaterialsInv[1* Quantity], MATCH(Monster_Materials[[#This Row],[1* Mats2]], MonsterMaterialsInv[1* Icon], 0)), "")</f>
        <v>630</v>
      </c>
      <c r="S10" s="192" t="e" vm="115">
        <f>IFERROR(INDEX(MonsterMaterialsImg[3*Icon], MATCH(Monster_Materials[[#This Row],[HelperName3*]], MonsterMaterialsImg[3*Name], 0)), "")</f>
        <v>#VALUE!</v>
      </c>
      <c r="T10" s="36">
        <f>Monster_Materials[[#This Row],[Need1]]-Monster_Materials[[#This Row],[Acquired1]]</f>
        <v>442</v>
      </c>
      <c r="U10" s="154" t="e" vm="745">
        <f>IFERROR(INDEX(MonsterMaterialsImg[2*Icon], MATCH(Monster_Materials[[#This Row],[HelperName2*]], MonsterMaterialsImg[2*Name], 0)), "")</f>
        <v>#VALUE!</v>
      </c>
      <c r="V10" s="36">
        <f>Monster_Materials[[#This Row],[Need2]]-Monster_Materials[[#This Row],[Acquired2]]</f>
        <v>121</v>
      </c>
      <c r="W10" s="154" t="e" vm="746">
        <f>IFERROR(INDEX(MonsterMaterialsImg[1*Icon], MATCH(Monster_Materials[[#This Row],[HelperName1*]], MonsterMaterialsImg[1*Name], 0)), "")</f>
        <v>#VALUE!</v>
      </c>
      <c r="X10" s="158">
        <f>Monster_Materials[[#This Row],[Need3]]-Monster_Materials[[#This Row],[Acquired3]]</f>
        <v>-567</v>
      </c>
    </row>
    <row r="11" spans="1:24" ht="30" customHeight="1" x14ac:dyDescent="0.25">
      <c r="A11" s="153">
        <f>SUBTOTAL(3,$B$4:Monster_Materials[[#This Row],[Link to Interactive Map]])</f>
        <v>8</v>
      </c>
      <c r="B11" s="185" t="s">
        <v>309</v>
      </c>
      <c r="C11" s="36" t="s">
        <v>327</v>
      </c>
      <c r="D11" s="36" t="s">
        <v>319</v>
      </c>
      <c r="E11" s="36" t="s">
        <v>310</v>
      </c>
      <c r="F11" s="154">
        <v>2</v>
      </c>
      <c r="G11" s="192" t="e" vm="184">
        <f>IFERROR(INDEX(MonsterMaterialsImg[3*Icon], MATCH(Monster_Materials[[#This Row],[HelperName3*]], MonsterMaterialsImg[3*Name], 0)), "")</f>
        <v>#VALUE!</v>
      </c>
      <c r="H11" s="36">
        <f>(SUMIF(MonsterMaterials[Material Type],Monster_Materials[[#This Row],[3* Mats]],MonsterMaterials[3* (Asc)]))+(SUMIF(MonsterMaterials[Material Type],Monster_Materials[[#This Row],[3* Mats]],MonsterMaterials[3* (Tal)]))</f>
        <v>136</v>
      </c>
      <c r="I11" s="154" t="e" vm="748">
        <f>IFERROR(INDEX(MonsterMaterialsImg[2*Icon], MATCH(Monster_Materials[[#This Row],[HelperName2*]], MonsterMaterialsImg[2*Name], 0)), "")</f>
        <v>#VALUE!</v>
      </c>
      <c r="J11" s="36">
        <f>(SUMIF(MonsterMaterials[Material Type],Monster_Materials[[#This Row],[3* Mats]],MonsterMaterials[2* (Asc)]))+(SUMIF(MonsterMaterials[Material Type],Monster_Materials[[#This Row],[3* Mats]],MonsterMaterials[2* (Tal)]))</f>
        <v>74</v>
      </c>
      <c r="K11" s="154" t="e" vm="749">
        <f>IFERROR(INDEX(MonsterMaterialsImg[1*Icon], MATCH(Monster_Materials[[#This Row],[HelperName1*]], MonsterMaterialsImg[1*Name], 0)), "")</f>
        <v>#VALUE!</v>
      </c>
      <c r="L11" s="158">
        <f>(SUMIF(MonsterMaterials[Material Type],Monster_Materials[[#This Row],[3* Mats]],MonsterMaterials[1* (Asc)]))+(SUMIF(MonsterMaterials[Material Type],Monster_Materials[[#This Row],[3* Mats]],MonsterMaterials[1* (Tal)]))</f>
        <v>12</v>
      </c>
      <c r="M11" s="192" t="e" vm="184">
        <f>IFERROR(INDEX(MonsterMaterialsImg[3*Icon], MATCH(Monster_Materials[[#This Row],[HelperName3*]], MonsterMaterialsImg[3*Name], 0)), "")</f>
        <v>#VALUE!</v>
      </c>
      <c r="N11" s="36">
        <f>IFERROR(INDEX(MonsterMaterialsInv[3* Quantity], MATCH(Monster_Materials[[#This Row],[3* Mats2]], MonsterMaterialsInv[3* Icon], 0)), "")</f>
        <v>14</v>
      </c>
      <c r="O11" s="154" t="e" vm="748">
        <f>IFERROR(INDEX(MonsterMaterialsImg[2*Icon], MATCH(Monster_Materials[[#This Row],[HelperName2*]], MonsterMaterialsImg[2*Name], 0)), "")</f>
        <v>#VALUE!</v>
      </c>
      <c r="P11" s="36">
        <f>IFERROR(INDEX(MonsterMaterialsInv[2* Quantity], MATCH(Monster_Materials[[#This Row],[2* Mats2]], MonsterMaterialsInv[2* Icon], 0)), "")</f>
        <v>23</v>
      </c>
      <c r="Q11" s="154" t="e" vm="749">
        <f>IFERROR(INDEX(MonsterMaterialsImg[1*Icon], MATCH(Monster_Materials[[#This Row],[HelperName1*]], MonsterMaterialsImg[1*Name], 0)), "")</f>
        <v>#VALUE!</v>
      </c>
      <c r="R11" s="158">
        <f>IFERROR(INDEX(MonsterMaterialsInv[1* Quantity], MATCH(Monster_Materials[[#This Row],[1* Mats2]], MonsterMaterialsInv[1* Icon], 0)), "")</f>
        <v>18</v>
      </c>
      <c r="S11" s="192" t="e" vm="184">
        <f>IFERROR(INDEX(MonsterMaterialsImg[3*Icon], MATCH(Monster_Materials[[#This Row],[HelperName3*]], MonsterMaterialsImg[3*Name], 0)), "")</f>
        <v>#VALUE!</v>
      </c>
      <c r="T11" s="36">
        <f>Monster_Materials[[#This Row],[Need1]]-Monster_Materials[[#This Row],[Acquired1]]</f>
        <v>122</v>
      </c>
      <c r="U11" s="154" t="e" vm="748">
        <f>IFERROR(INDEX(MonsterMaterialsImg[2*Icon], MATCH(Monster_Materials[[#This Row],[HelperName2*]], MonsterMaterialsImg[2*Name], 0)), "")</f>
        <v>#VALUE!</v>
      </c>
      <c r="V11" s="36">
        <f>Monster_Materials[[#This Row],[Need2]]-Monster_Materials[[#This Row],[Acquired2]]</f>
        <v>51</v>
      </c>
      <c r="W11" s="154" t="e" vm="749">
        <f>IFERROR(INDEX(MonsterMaterialsImg[1*Icon], MATCH(Monster_Materials[[#This Row],[HelperName1*]], MonsterMaterialsImg[1*Name], 0)), "")</f>
        <v>#VALUE!</v>
      </c>
      <c r="X11" s="158">
        <f>Monster_Materials[[#This Row],[Need3]]-Monster_Materials[[#This Row],[Acquired3]]</f>
        <v>-6</v>
      </c>
    </row>
    <row r="12" spans="1:24" ht="30" customHeight="1" x14ac:dyDescent="0.25">
      <c r="A12" s="153">
        <f>SUBTOTAL(3,$B$4:Monster_Materials[[#This Row],[Link to Interactive Map]])</f>
        <v>9</v>
      </c>
      <c r="B12" s="185" t="s">
        <v>336</v>
      </c>
      <c r="C12" s="36" t="s">
        <v>355</v>
      </c>
      <c r="D12" s="36" t="s">
        <v>346</v>
      </c>
      <c r="E12" s="36" t="s">
        <v>337</v>
      </c>
      <c r="F12" s="154">
        <v>2.1</v>
      </c>
      <c r="G12" s="192" t="e" vm="75">
        <f>IFERROR(INDEX(MonsterMaterialsImg[3*Icon], MATCH(Monster_Materials[[#This Row],[HelperName3*]], MonsterMaterialsImg[3*Name], 0)), "")</f>
        <v>#VALUE!</v>
      </c>
      <c r="H12" s="36">
        <f>(SUMIF(MonsterMaterials[Material Type],Monster_Materials[[#This Row],[3* Mats]],MonsterMaterials[3* (Asc)]))+(SUMIF(MonsterMaterials[Material Type],Monster_Materials[[#This Row],[3* Mats]],MonsterMaterials[3* (Tal)]))</f>
        <v>516</v>
      </c>
      <c r="I12" s="154" t="e" vm="752">
        <f>IFERROR(INDEX(MonsterMaterialsImg[2*Icon], MATCH(Monster_Materials[[#This Row],[HelperName2*]], MonsterMaterialsImg[2*Name], 0)), "")</f>
        <v>#VALUE!</v>
      </c>
      <c r="J12" s="36">
        <f>(SUMIF(MonsterMaterials[Material Type],Monster_Materials[[#This Row],[3* Mats]],MonsterMaterials[2* (Asc)]))+(SUMIF(MonsterMaterials[Material Type],Monster_Materials[[#This Row],[3* Mats]],MonsterMaterials[2* (Tal)]))</f>
        <v>332</v>
      </c>
      <c r="K12" s="154" t="e" vm="753">
        <f>IFERROR(INDEX(MonsterMaterialsImg[1*Icon], MATCH(Monster_Materials[[#This Row],[HelperName1*]], MonsterMaterialsImg[1*Name], 0)), "")</f>
        <v>#VALUE!</v>
      </c>
      <c r="L12" s="158">
        <f>(SUMIF(MonsterMaterials[Material Type],Monster_Materials[[#This Row],[3* Mats]],MonsterMaterials[1* (Asc)]))+(SUMIF(MonsterMaterials[Material Type],Monster_Materials[[#This Row],[3* Mats]],MonsterMaterials[1* (Tal)]))</f>
        <v>111</v>
      </c>
      <c r="M12" s="192" t="e" vm="75">
        <f>IFERROR(INDEX(MonsterMaterialsImg[3*Icon], MATCH(Monster_Materials[[#This Row],[HelperName3*]], MonsterMaterialsImg[3*Name], 0)), "")</f>
        <v>#VALUE!</v>
      </c>
      <c r="N12" s="36">
        <f>IFERROR(INDEX(MonsterMaterialsInv[3* Quantity], MATCH(Monster_Materials[[#This Row],[3* Mats2]], MonsterMaterialsInv[3* Icon], 0)), "")</f>
        <v>1</v>
      </c>
      <c r="O12" s="154" t="e" vm="752">
        <f>IFERROR(INDEX(MonsterMaterialsImg[2*Icon], MATCH(Monster_Materials[[#This Row],[HelperName2*]], MonsterMaterialsImg[2*Name], 0)), "")</f>
        <v>#VALUE!</v>
      </c>
      <c r="P12" s="36">
        <f>IFERROR(INDEX(MonsterMaterialsInv[2* Quantity], MATCH(Monster_Materials[[#This Row],[2* Mats2]], MonsterMaterialsInv[2* Icon], 0)), "")</f>
        <v>4</v>
      </c>
      <c r="Q12" s="154" t="e" vm="753">
        <f>IFERROR(INDEX(MonsterMaterialsImg[1*Icon], MATCH(Monster_Materials[[#This Row],[HelperName1*]], MonsterMaterialsImg[1*Name], 0)), "")</f>
        <v>#VALUE!</v>
      </c>
      <c r="R12" s="158">
        <f>IFERROR(INDEX(MonsterMaterialsInv[1* Quantity], MATCH(Monster_Materials[[#This Row],[1* Mats2]], MonsterMaterialsInv[1* Icon], 0)), "")</f>
        <v>45</v>
      </c>
      <c r="S12" s="192" t="e" vm="75">
        <f>IFERROR(INDEX(MonsterMaterialsImg[3*Icon], MATCH(Monster_Materials[[#This Row],[HelperName3*]], MonsterMaterialsImg[3*Name], 0)), "")</f>
        <v>#VALUE!</v>
      </c>
      <c r="T12" s="36">
        <f>Monster_Materials[[#This Row],[Need1]]-Monster_Materials[[#This Row],[Acquired1]]</f>
        <v>515</v>
      </c>
      <c r="U12" s="154" t="e" vm="752">
        <f>IFERROR(INDEX(MonsterMaterialsImg[2*Icon], MATCH(Monster_Materials[[#This Row],[HelperName2*]], MonsterMaterialsImg[2*Name], 0)), "")</f>
        <v>#VALUE!</v>
      </c>
      <c r="V12" s="36">
        <f>Monster_Materials[[#This Row],[Need2]]-Monster_Materials[[#This Row],[Acquired2]]</f>
        <v>328</v>
      </c>
      <c r="W12" s="154" t="e" vm="753">
        <f>IFERROR(INDEX(MonsterMaterialsImg[1*Icon], MATCH(Monster_Materials[[#This Row],[HelperName1*]], MonsterMaterialsImg[1*Name], 0)), "")</f>
        <v>#VALUE!</v>
      </c>
      <c r="X12" s="158">
        <f>Monster_Materials[[#This Row],[Need3]]-Monster_Materials[[#This Row],[Acquired3]]</f>
        <v>66</v>
      </c>
    </row>
    <row r="13" spans="1:24" ht="30" customHeight="1" x14ac:dyDescent="0.25">
      <c r="A13" s="153">
        <f>SUBTOTAL(3,$B$4:Monster_Materials[[#This Row],[Link to Interactive Map]])</f>
        <v>10</v>
      </c>
      <c r="B13" s="185" t="s">
        <v>365</v>
      </c>
      <c r="C13" s="36" t="s">
        <v>383</v>
      </c>
      <c r="D13" s="36" t="s">
        <v>375</v>
      </c>
      <c r="E13" s="36" t="s">
        <v>366</v>
      </c>
      <c r="F13" s="154">
        <v>3</v>
      </c>
      <c r="G13" s="192" t="e" vm="272">
        <f>IFERROR(INDEX(MonsterMaterialsImg[3*Icon], MATCH(Monster_Materials[[#This Row],[HelperName3*]], MonsterMaterialsImg[3*Name], 0)), "")</f>
        <v>#VALUE!</v>
      </c>
      <c r="H13" s="36">
        <f>(SUMIF(MonsterMaterials[Material Type],Monster_Materials[[#This Row],[3* Mats]],MonsterMaterials[3* (Asc)]))+(SUMIF(MonsterMaterials[Material Type],Monster_Materials[[#This Row],[3* Mats]],MonsterMaterials[3* (Tal)]))</f>
        <v>437</v>
      </c>
      <c r="I13" s="154" t="e" vm="755">
        <f>IFERROR(INDEX(MonsterMaterialsImg[2*Icon], MATCH(Monster_Materials[[#This Row],[HelperName2*]], MonsterMaterialsImg[2*Name], 0)), "")</f>
        <v>#VALUE!</v>
      </c>
      <c r="J13" s="36">
        <f>(SUMIF(MonsterMaterials[Material Type],Monster_Materials[[#This Row],[3* Mats]],MonsterMaterials[2* (Asc)]))+(SUMIF(MonsterMaterials[Material Type],Monster_Materials[[#This Row],[3* Mats]],MonsterMaterials[2* (Tal)]))</f>
        <v>280</v>
      </c>
      <c r="K13" s="154" t="e" vm="756">
        <f>IFERROR(INDEX(MonsterMaterialsImg[1*Icon], MATCH(Monster_Materials[[#This Row],[HelperName1*]], MonsterMaterialsImg[1*Name], 0)), "")</f>
        <v>#VALUE!</v>
      </c>
      <c r="L13" s="158">
        <f>(SUMIF(MonsterMaterials[Material Type],Monster_Materials[[#This Row],[3* Mats]],MonsterMaterials[1* (Asc)]))+(SUMIF(MonsterMaterials[Material Type],Monster_Materials[[#This Row],[3* Mats]],MonsterMaterials[1* (Tal)]))</f>
        <v>90</v>
      </c>
      <c r="M13" s="192" t="e" vm="272">
        <f>IFERROR(INDEX(MonsterMaterialsImg[3*Icon], MATCH(Monster_Materials[[#This Row],[HelperName3*]], MonsterMaterialsImg[3*Name], 0)), "")</f>
        <v>#VALUE!</v>
      </c>
      <c r="N13" s="36">
        <f>IFERROR(INDEX(MonsterMaterialsInv[3* Quantity], MATCH(Monster_Materials[[#This Row],[3* Mats2]], MonsterMaterialsInv[3* Icon], 0)), "")</f>
        <v>13</v>
      </c>
      <c r="O13" s="154" t="e" vm="755">
        <f>IFERROR(INDEX(MonsterMaterialsImg[2*Icon], MATCH(Monster_Materials[[#This Row],[HelperName2*]], MonsterMaterialsImg[2*Name], 0)), "")</f>
        <v>#VALUE!</v>
      </c>
      <c r="P13" s="36">
        <f>IFERROR(INDEX(MonsterMaterialsInv[2* Quantity], MATCH(Monster_Materials[[#This Row],[2* Mats2]], MonsterMaterialsInv[2* Icon], 0)), "")</f>
        <v>238</v>
      </c>
      <c r="Q13" s="154" t="e" vm="756">
        <f>IFERROR(INDEX(MonsterMaterialsImg[1*Icon], MATCH(Monster_Materials[[#This Row],[HelperName1*]], MonsterMaterialsImg[1*Name], 0)), "")</f>
        <v>#VALUE!</v>
      </c>
      <c r="R13" s="158">
        <f>IFERROR(INDEX(MonsterMaterialsInv[1* Quantity], MATCH(Monster_Materials[[#This Row],[1* Mats2]], MonsterMaterialsInv[1* Icon], 0)), "")</f>
        <v>1177</v>
      </c>
      <c r="S13" s="192" t="e" vm="272">
        <f>IFERROR(INDEX(MonsterMaterialsImg[3*Icon], MATCH(Monster_Materials[[#This Row],[HelperName3*]], MonsterMaterialsImg[3*Name], 0)), "")</f>
        <v>#VALUE!</v>
      </c>
      <c r="T13" s="36">
        <f>Monster_Materials[[#This Row],[Need1]]-Monster_Materials[[#This Row],[Acquired1]]</f>
        <v>424</v>
      </c>
      <c r="U13" s="154" t="e" vm="755">
        <f>IFERROR(INDEX(MonsterMaterialsImg[2*Icon], MATCH(Monster_Materials[[#This Row],[HelperName2*]], MonsterMaterialsImg[2*Name], 0)), "")</f>
        <v>#VALUE!</v>
      </c>
      <c r="V13" s="36">
        <f>Monster_Materials[[#This Row],[Need2]]-Monster_Materials[[#This Row],[Acquired2]]</f>
        <v>42</v>
      </c>
      <c r="W13" s="154" t="e" vm="756">
        <f>IFERROR(INDEX(MonsterMaterialsImg[1*Icon], MATCH(Monster_Materials[[#This Row],[HelperName1*]], MonsterMaterialsImg[1*Name], 0)), "")</f>
        <v>#VALUE!</v>
      </c>
      <c r="X13" s="158">
        <f>Monster_Materials[[#This Row],[Need3]]-Monster_Materials[[#This Row],[Acquired3]]</f>
        <v>-1087</v>
      </c>
    </row>
    <row r="14" spans="1:24" ht="30" customHeight="1" x14ac:dyDescent="0.25">
      <c r="A14" s="153">
        <f>SUBTOTAL(3,$B$4:Monster_Materials[[#This Row],[Link to Interactive Map]])</f>
        <v>11</v>
      </c>
      <c r="B14" s="185" t="s">
        <v>44</v>
      </c>
      <c r="C14" s="36" t="s">
        <v>403</v>
      </c>
      <c r="D14" s="36" t="s">
        <v>397</v>
      </c>
      <c r="E14" s="36" t="s">
        <v>391</v>
      </c>
      <c r="F14" s="154">
        <v>3.01</v>
      </c>
      <c r="G14" s="192" t="e" vm="32">
        <f>IFERROR(INDEX(MonsterMaterialsImg[3*Icon], MATCH(Monster_Materials[[#This Row],[HelperName3*]], MonsterMaterialsImg[3*Name], 0)), "")</f>
        <v>#VALUE!</v>
      </c>
      <c r="H14" s="36">
        <f>(SUMIF(MonsterMaterials[Material Type],Monster_Materials[[#This Row],[3* Mats]],MonsterMaterials[3* (Asc)]))+(SUMIF(MonsterMaterials[Material Type],Monster_Materials[[#This Row],[3* Mats]],MonsterMaterials[3* (Tal)]))</f>
        <v>430</v>
      </c>
      <c r="I14" s="154" t="e" vm="758">
        <f>IFERROR(INDEX(MonsterMaterialsImg[2*Icon], MATCH(Monster_Materials[[#This Row],[HelperName2*]], MonsterMaterialsImg[2*Name], 0)), "")</f>
        <v>#VALUE!</v>
      </c>
      <c r="J14" s="36">
        <f>(SUMIF(MonsterMaterials[Material Type],Monster_Materials[[#This Row],[3* Mats]],MonsterMaterials[2* (Asc)]))+(SUMIF(MonsterMaterials[Material Type],Monster_Materials[[#This Row],[3* Mats]],MonsterMaterials[2* (Tal)]))</f>
        <v>291</v>
      </c>
      <c r="K14" s="154" t="e" vm="759">
        <f>IFERROR(INDEX(MonsterMaterialsImg[1*Icon], MATCH(Monster_Materials[[#This Row],[HelperName1*]], MonsterMaterialsImg[1*Name], 0)), "")</f>
        <v>#VALUE!</v>
      </c>
      <c r="L14" s="158">
        <f>(SUMIF(MonsterMaterials[Material Type],Monster_Materials[[#This Row],[3* Mats]],MonsterMaterials[1* (Asc)]))+(SUMIF(MonsterMaterials[Material Type],Monster_Materials[[#This Row],[3* Mats]],MonsterMaterials[1* (Tal)]))</f>
        <v>87</v>
      </c>
      <c r="M14" s="192" t="e" vm="32">
        <f>IFERROR(INDEX(MonsterMaterialsImg[3*Icon], MATCH(Monster_Materials[[#This Row],[HelperName3*]], MonsterMaterialsImg[3*Name], 0)), "")</f>
        <v>#VALUE!</v>
      </c>
      <c r="N14" s="36">
        <f>IFERROR(INDEX(MonsterMaterialsInv[3* Quantity], MATCH(Monster_Materials[[#This Row],[3* Mats2]], MonsterMaterialsInv[3* Icon], 0)), "")</f>
        <v>210</v>
      </c>
      <c r="O14" s="154" t="e" vm="758">
        <f>IFERROR(INDEX(MonsterMaterialsImg[2*Icon], MATCH(Monster_Materials[[#This Row],[HelperName2*]], MonsterMaterialsImg[2*Name], 0)), "")</f>
        <v>#VALUE!</v>
      </c>
      <c r="P14" s="36">
        <f>IFERROR(INDEX(MonsterMaterialsInv[2* Quantity], MATCH(Monster_Materials[[#This Row],[2* Mats2]], MonsterMaterialsInv[2* Icon], 0)), "")</f>
        <v>213</v>
      </c>
      <c r="Q14" s="154" t="e" vm="759">
        <f>IFERROR(INDEX(MonsterMaterialsImg[1*Icon], MATCH(Monster_Materials[[#This Row],[HelperName1*]], MonsterMaterialsImg[1*Name], 0)), "")</f>
        <v>#VALUE!</v>
      </c>
      <c r="R14" s="158">
        <f>IFERROR(INDEX(MonsterMaterialsInv[1* Quantity], MATCH(Monster_Materials[[#This Row],[1* Mats2]], MonsterMaterialsInv[1* Icon], 0)), "")</f>
        <v>959</v>
      </c>
      <c r="S14" s="192" t="e" vm="32">
        <f>IFERROR(INDEX(MonsterMaterialsImg[3*Icon], MATCH(Monster_Materials[[#This Row],[HelperName3*]], MonsterMaterialsImg[3*Name], 0)), "")</f>
        <v>#VALUE!</v>
      </c>
      <c r="T14" s="36">
        <f>Monster_Materials[[#This Row],[Need1]]-Monster_Materials[[#This Row],[Acquired1]]</f>
        <v>220</v>
      </c>
      <c r="U14" s="154" t="e" vm="758">
        <f>IFERROR(INDEX(MonsterMaterialsImg[2*Icon], MATCH(Monster_Materials[[#This Row],[HelperName2*]], MonsterMaterialsImg[2*Name], 0)), "")</f>
        <v>#VALUE!</v>
      </c>
      <c r="V14" s="36">
        <f>Monster_Materials[[#This Row],[Need2]]-Monster_Materials[[#This Row],[Acquired2]]</f>
        <v>78</v>
      </c>
      <c r="W14" s="154" t="e" vm="759">
        <f>IFERROR(INDEX(MonsterMaterialsImg[1*Icon], MATCH(Monster_Materials[[#This Row],[HelperName1*]], MonsterMaterialsImg[1*Name], 0)), "")</f>
        <v>#VALUE!</v>
      </c>
      <c r="X14" s="158">
        <f>Monster_Materials[[#This Row],[Need3]]-Monster_Materials[[#This Row],[Acquired3]]</f>
        <v>-872</v>
      </c>
    </row>
    <row r="15" spans="1:24" ht="30" customHeight="1" x14ac:dyDescent="0.25">
      <c r="A15" s="153">
        <f>SUBTOTAL(3,$B$4:Monster_Materials[[#This Row],[Link to Interactive Map]])</f>
        <v>12</v>
      </c>
      <c r="B15" s="185" t="s">
        <v>409</v>
      </c>
      <c r="C15" s="36" t="s">
        <v>422</v>
      </c>
      <c r="D15" s="36" t="s">
        <v>416</v>
      </c>
      <c r="E15" s="36" t="s">
        <v>410</v>
      </c>
      <c r="F15" s="154">
        <v>4</v>
      </c>
      <c r="G15" s="192" t="e" vm="95">
        <f>IFERROR(INDEX(MonsterMaterialsImg[3*Icon], MATCH(Monster_Materials[[#This Row],[HelperName3*]], MonsterMaterialsImg[3*Name], 0)), "")</f>
        <v>#VALUE!</v>
      </c>
      <c r="H15" s="36">
        <f>(SUMIF(MonsterMaterials[Material Type],Monster_Materials[[#This Row],[3* Mats]],MonsterMaterials[3* (Asc)]))+(SUMIF(MonsterMaterials[Material Type],Monster_Materials[[#This Row],[3* Mats]],MonsterMaterials[3* (Tal)]))</f>
        <v>222</v>
      </c>
      <c r="I15" s="154" t="e" vm="762">
        <f>IFERROR(INDEX(MonsterMaterialsImg[2*Icon], MATCH(Monster_Materials[[#This Row],[HelperName2*]], MonsterMaterialsImg[2*Name], 0)), "")</f>
        <v>#VALUE!</v>
      </c>
      <c r="J15" s="36">
        <f>(SUMIF(MonsterMaterials[Material Type],Monster_Materials[[#This Row],[3* Mats]],MonsterMaterials[2* (Asc)]))+(SUMIF(MonsterMaterials[Material Type],Monster_Materials[[#This Row],[3* Mats]],MonsterMaterials[2* (Tal)]))</f>
        <v>162</v>
      </c>
      <c r="K15" s="154" t="e" vm="763">
        <f>IFERROR(INDEX(MonsterMaterialsImg[1*Icon], MATCH(Monster_Materials[[#This Row],[HelperName1*]], MonsterMaterialsImg[1*Name], 0)), "")</f>
        <v>#VALUE!</v>
      </c>
      <c r="L15" s="158">
        <f>(SUMIF(MonsterMaterials[Material Type],Monster_Materials[[#This Row],[3* Mats]],MonsterMaterials[1* (Asc)]))+(SUMIF(MonsterMaterials[Material Type],Monster_Materials[[#This Row],[3* Mats]],MonsterMaterials[1* (Tal)]))</f>
        <v>51</v>
      </c>
      <c r="M15" s="192" t="e" vm="95">
        <f>IFERROR(INDEX(MonsterMaterialsImg[3*Icon], MATCH(Monster_Materials[[#This Row],[HelperName3*]], MonsterMaterialsImg[3*Name], 0)), "")</f>
        <v>#VALUE!</v>
      </c>
      <c r="N15" s="36">
        <f>IFERROR(INDEX(MonsterMaterialsInv[3* Quantity], MATCH(Monster_Materials[[#This Row],[3* Mats2]], MonsterMaterialsInv[3* Icon], 0)), "")</f>
        <v>39</v>
      </c>
      <c r="O15" s="154" t="e" vm="762">
        <f>IFERROR(INDEX(MonsterMaterialsImg[2*Icon], MATCH(Monster_Materials[[#This Row],[HelperName2*]], MonsterMaterialsImg[2*Name], 0)), "")</f>
        <v>#VALUE!</v>
      </c>
      <c r="P15" s="36">
        <f>IFERROR(INDEX(MonsterMaterialsInv[2* Quantity], MATCH(Monster_Materials[[#This Row],[2* Mats2]], MonsterMaterialsInv[2* Icon], 0)), "")</f>
        <v>93</v>
      </c>
      <c r="Q15" s="154" t="e" vm="763">
        <f>IFERROR(INDEX(MonsterMaterialsImg[1*Icon], MATCH(Monster_Materials[[#This Row],[HelperName1*]], MonsterMaterialsImg[1*Name], 0)), "")</f>
        <v>#VALUE!</v>
      </c>
      <c r="R15" s="158">
        <f>IFERROR(INDEX(MonsterMaterialsInv[1* Quantity], MATCH(Monster_Materials[[#This Row],[1* Mats2]], MonsterMaterialsInv[1* Icon], 0)), "")</f>
        <v>466</v>
      </c>
      <c r="S15" s="192" t="e" vm="95">
        <f>IFERROR(INDEX(MonsterMaterialsImg[3*Icon], MATCH(Monster_Materials[[#This Row],[HelperName3*]], MonsterMaterialsImg[3*Name], 0)), "")</f>
        <v>#VALUE!</v>
      </c>
      <c r="T15" s="36">
        <f>Monster_Materials[[#This Row],[Need1]]-Monster_Materials[[#This Row],[Acquired1]]</f>
        <v>183</v>
      </c>
      <c r="U15" s="154" t="e" vm="762">
        <f>IFERROR(INDEX(MonsterMaterialsImg[2*Icon], MATCH(Monster_Materials[[#This Row],[HelperName2*]], MonsterMaterialsImg[2*Name], 0)), "")</f>
        <v>#VALUE!</v>
      </c>
      <c r="V15" s="36">
        <f>Monster_Materials[[#This Row],[Need2]]-Monster_Materials[[#This Row],[Acquired2]]</f>
        <v>69</v>
      </c>
      <c r="W15" s="154" t="e" vm="763">
        <f>IFERROR(INDEX(MonsterMaterialsImg[1*Icon], MATCH(Monster_Materials[[#This Row],[HelperName1*]], MonsterMaterialsImg[1*Name], 0)), "")</f>
        <v>#VALUE!</v>
      </c>
      <c r="X15" s="158">
        <f>Monster_Materials[[#This Row],[Need3]]-Monster_Materials[[#This Row],[Acquired3]]</f>
        <v>-415</v>
      </c>
    </row>
    <row r="16" spans="1:24" ht="30" customHeight="1" thickBot="1" x14ac:dyDescent="0.3">
      <c r="A16" s="153">
        <f>SUBTOTAL(3,$B$4:Monster_Materials[[#This Row],[Link to Interactive Map]])</f>
        <v>13</v>
      </c>
      <c r="B16" s="185" t="s">
        <v>427</v>
      </c>
      <c r="C16" s="36" t="s">
        <v>440</v>
      </c>
      <c r="D16" s="36" t="s">
        <v>434</v>
      </c>
      <c r="E16" s="36" t="s">
        <v>428</v>
      </c>
      <c r="F16" s="154">
        <v>4.01</v>
      </c>
      <c r="G16" s="192" t="e" vm="261">
        <f>IFERROR(INDEX(MonsterMaterialsImg[3*Icon], MATCH(Monster_Materials[[#This Row],[HelperName3*]], MonsterMaterialsImg[3*Name], 0)), "")</f>
        <v>#VALUE!</v>
      </c>
      <c r="H16" s="36">
        <f>(SUMIF(MonsterMaterials[Material Type],Monster_Materials[[#This Row],[3* Mats]],MonsterMaterials[3* (Asc)]))+(SUMIF(MonsterMaterials[Material Type],Monster_Materials[[#This Row],[3* Mats]],MonsterMaterials[3* (Tal)]))</f>
        <v>218</v>
      </c>
      <c r="I16" s="154" t="e" vm="766">
        <f>IFERROR(INDEX(MonsterMaterialsImg[2*Icon], MATCH(Monster_Materials[[#This Row],[HelperName2*]], MonsterMaterialsImg[2*Name], 0)), "")</f>
        <v>#VALUE!</v>
      </c>
      <c r="J16" s="36">
        <f>(SUMIF(MonsterMaterials[Material Type],Monster_Materials[[#This Row],[3* Mats]],MonsterMaterials[2* (Asc)]))+(SUMIF(MonsterMaterials[Material Type],Monster_Materials[[#This Row],[3* Mats]],MonsterMaterials[2* (Tal)]))</f>
        <v>118</v>
      </c>
      <c r="K16" s="154" t="e" vm="767">
        <f>IFERROR(INDEX(MonsterMaterialsImg[1*Icon], MATCH(Monster_Materials[[#This Row],[HelperName1*]], MonsterMaterialsImg[1*Name], 0)), "")</f>
        <v>#VALUE!</v>
      </c>
      <c r="L16" s="158">
        <f>(SUMIF(MonsterMaterials[Material Type],Monster_Materials[[#This Row],[3* Mats]],MonsterMaterials[1* (Asc)]))+(SUMIF(MonsterMaterials[Material Type],Monster_Materials[[#This Row],[3* Mats]],MonsterMaterials[1* (Tal)]))</f>
        <v>39</v>
      </c>
      <c r="M16" s="192" t="e" vm="261">
        <f>IFERROR(INDEX(MonsterMaterialsImg[3*Icon], MATCH(Monster_Materials[[#This Row],[HelperName3*]], MonsterMaterialsImg[3*Name], 0)), "")</f>
        <v>#VALUE!</v>
      </c>
      <c r="N16" s="36">
        <f>IFERROR(INDEX(MonsterMaterialsInv[3* Quantity], MATCH(Monster_Materials[[#This Row],[3* Mats2]], MonsterMaterialsInv[3* Icon], 0)), "")</f>
        <v>136</v>
      </c>
      <c r="O16" s="154" t="e" vm="766">
        <f>IFERROR(INDEX(MonsterMaterialsImg[2*Icon], MATCH(Monster_Materials[[#This Row],[HelperName2*]], MonsterMaterialsImg[2*Name], 0)), "")</f>
        <v>#VALUE!</v>
      </c>
      <c r="P16" s="36">
        <f>IFERROR(INDEX(MonsterMaterialsInv[2* Quantity], MATCH(Monster_Materials[[#This Row],[2* Mats2]], MonsterMaterialsInv[2* Icon], 0)), "")</f>
        <v>238</v>
      </c>
      <c r="Q16" s="154" t="e" vm="767">
        <f>IFERROR(INDEX(MonsterMaterialsImg[1*Icon], MATCH(Monster_Materials[[#This Row],[HelperName1*]], MonsterMaterialsImg[1*Name], 0)), "")</f>
        <v>#VALUE!</v>
      </c>
      <c r="R16" s="158">
        <f>IFERROR(INDEX(MonsterMaterialsInv[1* Quantity], MATCH(Monster_Materials[[#This Row],[1* Mats2]], MonsterMaterialsInv[1* Icon], 0)), "")</f>
        <v>601</v>
      </c>
      <c r="S16" s="192" t="e" vm="261">
        <f>IFERROR(INDEX(MonsterMaterialsImg[3*Icon], MATCH(Monster_Materials[[#This Row],[HelperName3*]], MonsterMaterialsImg[3*Name], 0)), "")</f>
        <v>#VALUE!</v>
      </c>
      <c r="T16" s="36">
        <f>Monster_Materials[[#This Row],[Need1]]-Monster_Materials[[#This Row],[Acquired1]]</f>
        <v>82</v>
      </c>
      <c r="U16" s="154" t="e" vm="766">
        <f>IFERROR(INDEX(MonsterMaterialsImg[2*Icon], MATCH(Monster_Materials[[#This Row],[HelperName2*]], MonsterMaterialsImg[2*Name], 0)), "")</f>
        <v>#VALUE!</v>
      </c>
      <c r="V16" s="36">
        <f>Monster_Materials[[#This Row],[Need2]]-Monster_Materials[[#This Row],[Acquired2]]</f>
        <v>-120</v>
      </c>
      <c r="W16" s="154" t="e" vm="767">
        <f>IFERROR(INDEX(MonsterMaterialsImg[1*Icon], MATCH(Monster_Materials[[#This Row],[HelperName1*]], MonsterMaterialsImg[1*Name], 0)), "")</f>
        <v>#VALUE!</v>
      </c>
      <c r="X16" s="158">
        <f>Monster_Materials[[#This Row],[Need3]]-Monster_Materials[[#This Row],[Acquired3]]</f>
        <v>-562</v>
      </c>
    </row>
    <row r="17" spans="1:24" ht="30" customHeight="1" thickBot="1" x14ac:dyDescent="0.3">
      <c r="A17" s="162" t="s">
        <v>706</v>
      </c>
      <c r="B17" s="163"/>
      <c r="C17" s="163"/>
      <c r="D17" s="163"/>
      <c r="E17" s="163"/>
      <c r="F17" s="164"/>
      <c r="G17" s="162"/>
      <c r="H17" s="163">
        <f>SUMIF(Monster_Materials[Need1],"&gt;=0")</f>
        <v>6291</v>
      </c>
      <c r="I17" s="163"/>
      <c r="J17" s="163">
        <f>SUMIF(Monster_Materials[Need2],"&gt;=0")</f>
        <v>3771</v>
      </c>
      <c r="K17" s="163"/>
      <c r="L17" s="164">
        <f>SUMIF(Monster_Materials[Need3],"&gt;=0")</f>
        <v>1083</v>
      </c>
      <c r="M17" s="162"/>
      <c r="N17" s="163">
        <f>SUMIF(Monster_Materials[Acquired1],"&gt;=0")</f>
        <v>1156</v>
      </c>
      <c r="O17" s="163"/>
      <c r="P17" s="163">
        <f>SUMIF(Monster_Materials[Acquired2],"&gt;=0")</f>
        <v>2388</v>
      </c>
      <c r="Q17" s="163"/>
      <c r="R17" s="164">
        <f>SUMIF(Monster_Materials[Acquired3],"&gt;=0")</f>
        <v>14469</v>
      </c>
      <c r="S17" s="162"/>
      <c r="T17" s="163">
        <f>SUMIF(Monster_Materials[Remaining1],"&gt;=0")</f>
        <v>5135</v>
      </c>
      <c r="U17" s="163"/>
      <c r="V17" s="163">
        <f>SUMIF(Monster_Materials[Remaining2],"&gt;=0")</f>
        <v>1525</v>
      </c>
      <c r="W17" s="163"/>
      <c r="X17" s="164">
        <f>SUMIF(Monster_Materials[Remaining3],"&gt;=0")</f>
        <v>66</v>
      </c>
    </row>
    <row r="18" spans="1:24" ht="30" customHeight="1" x14ac:dyDescent="0.25"/>
    <row r="19" spans="1:24" ht="30" customHeight="1" x14ac:dyDescent="0.25"/>
    <row r="20" spans="1:24" ht="30" customHeight="1" x14ac:dyDescent="0.25"/>
    <row r="21" spans="1:24" ht="30" customHeight="1" x14ac:dyDescent="0.25"/>
    <row r="22" spans="1:24" ht="30" customHeight="1" x14ac:dyDescent="0.25"/>
    <row r="23" spans="1:24" ht="30" customHeight="1" x14ac:dyDescent="0.25"/>
    <row r="24" spans="1:24" ht="30" customHeight="1" x14ac:dyDescent="0.25"/>
    <row r="25" spans="1:24" ht="30" customHeight="1" x14ac:dyDescent="0.25"/>
    <row r="26" spans="1:24" ht="30" customHeight="1" x14ac:dyDescent="0.25"/>
    <row r="27" spans="1:24" ht="30" customHeight="1" x14ac:dyDescent="0.25"/>
    <row r="28" spans="1:24" ht="30" customHeight="1" x14ac:dyDescent="0.25"/>
    <row r="29" spans="1:24" ht="30" customHeight="1" x14ac:dyDescent="0.25"/>
    <row r="30" spans="1:24" ht="30" customHeight="1" x14ac:dyDescent="0.25"/>
    <row r="31" spans="1:24" ht="30" customHeight="1" x14ac:dyDescent="0.25"/>
    <row r="32" spans="1:24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</sheetData>
  <mergeCells count="4">
    <mergeCell ref="A1:X1"/>
    <mergeCell ref="G2:L2"/>
    <mergeCell ref="M2:R2"/>
    <mergeCell ref="S2:X2"/>
  </mergeCells>
  <phoneticPr fontId="3" type="noConversion"/>
  <hyperlinks>
    <hyperlink ref="B4" r:id="rId1" location="/map/2?center=1537.77,-3496.18&amp;zoom=-3.00&amp;shown_types=55" xr:uid="{BA9F970C-08AE-4699-9873-7BCE1CD7079D}"/>
    <hyperlink ref="B5" r:id="rId2" location="/map/2?center=1418.03,-3432.07&amp;zoom=-3.00&amp;shown_types=56" xr:uid="{92175A30-6968-46A6-A94A-B36829B1F636}"/>
    <hyperlink ref="B6" r:id="rId3" location="/map/2?center=1418.03,-3432.07&amp;zoom=-3.00&amp;shown_types=57" xr:uid="{F569CC8C-EEF2-47DF-AE30-AF1FEC478262}"/>
    <hyperlink ref="B7" r:id="rId4" location="/map/2?center=1418.03,-3432.07&amp;zoom=-3.00&amp;shown_types=59" xr:uid="{1BB2850E-9A96-4487-8EC4-78E113E14460}"/>
    <hyperlink ref="B8" r:id="rId5" location="/map/2?center=1418.03,-3432.07&amp;zoom=-3.00&amp;shown_types=58" xr:uid="{5940C17A-D608-4D33-8786-19F27B493DD2}"/>
    <hyperlink ref="B9" r:id="rId6" location="/map/2?center=1418.03,-3432.07&amp;zoom=-3.00&amp;shown_types=54" xr:uid="{B64EEDA0-EE4A-4E92-B313-C382DD4C3898}"/>
    <hyperlink ref="B10" r:id="rId7" location="/map/2?center=1418.03,-3432.07&amp;zoom=-3.00&amp;shown_types=47" xr:uid="{6C35C2AA-0B55-431B-BFBF-912B8234E69A}"/>
    <hyperlink ref="B11" r:id="rId8" location="/map/2?center=5645.95,1894.00&amp;zoom=-2.00&amp;shown_types=209" xr:uid="{59711692-D316-4D49-BAE5-FCB0013DAA53}"/>
    <hyperlink ref="B12" r:id="rId9" location="/map/2?center=7418.19,1342.03&amp;zoom=-2.00&amp;shown_types=229" xr:uid="{5889ACAE-406A-4244-8632-67B9740C054C}"/>
    <hyperlink ref="B13" r:id="rId10" location="/map/2?center=3288.46,-5818.37&amp;zoom=-2.00&amp;shown_types=221" xr:uid="{242446A1-8821-49B1-BA70-BE4DAFAC77CD}"/>
    <hyperlink ref="B14" r:id="rId11" location="/map/2?center=3284.46,-5874.37&amp;zoom=-2.00&amp;shown_types=389" xr:uid="{181FA1BC-1EC3-44BE-A440-C65EA4BB6772}"/>
    <hyperlink ref="B15" r:id="rId12" location="/map/2?center=-861.27,-5506.35&amp;zoom=-2.00&amp;shown_types=493" xr:uid="{5C584D84-0434-4709-8551-C19CCEAE3B23}"/>
    <hyperlink ref="B16" r:id="rId13" location="/map/2?center=-861.27,-5506.35&amp;zoom=-2.00&amp;shown_types=494" xr:uid="{E92781D2-618B-46B1-96D7-D9D170E6B6C9}"/>
  </hyperlinks>
  <pageMargins left="0.7" right="0.7" top="0.75" bottom="0.75" header="0.3" footer="0.3"/>
  <drawing r:id="rId14"/>
  <tableParts count="1">
    <tablePart r:id="rId1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3A983E-B9F0-43A0-A80D-3E1D6C94FF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Add New</vt:lpstr>
      <vt:lpstr>LevelDatabase</vt:lpstr>
      <vt:lpstr>ImgDatabase</vt:lpstr>
      <vt:lpstr>Inventory</vt:lpstr>
      <vt:lpstr>Summary</vt:lpstr>
      <vt:lpstr>World Boss</vt:lpstr>
      <vt:lpstr>Talent Books</vt:lpstr>
      <vt:lpstr>Weekly Boss</vt:lpstr>
      <vt:lpstr>Local Specialties</vt:lpstr>
      <vt:lpstr>Ascension Stones</vt:lpstr>
      <vt:lpstr>Monster Materials</vt:lpstr>
      <vt:lpstr>'Ascension Stones'!Extract</vt:lpstr>
      <vt:lpstr>'Local Specialties'!Extract</vt:lpstr>
      <vt:lpstr>'Monster Materials'!Extract</vt:lpstr>
      <vt:lpstr>Summary!Extract</vt:lpstr>
      <vt:lpstr>'Weekly Boss'!Extract</vt:lpstr>
      <vt:lpstr>'Ascension Stones'!HerosWits</vt:lpstr>
      <vt:lpstr>'Monster Materials'!HerosWits</vt:lpstr>
      <vt:lpstr>Summary!HerosWits</vt:lpstr>
      <vt:lpstr>HerosWits</vt:lpstr>
      <vt:lpstr>'Ascension Stones'!Levels</vt:lpstr>
      <vt:lpstr>'Monster Materials'!Levels</vt:lpstr>
      <vt:lpstr>Summary!Levels</vt:lpstr>
      <vt:lpstr>Levels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Emon Hasan Nayeem</cp:lastModifiedBy>
  <cp:revision/>
  <dcterms:created xsi:type="dcterms:W3CDTF">2023-12-16T11:28:58Z</dcterms:created>
  <dcterms:modified xsi:type="dcterms:W3CDTF">2024-06-19T19:50:29Z</dcterms:modified>
  <cp:category/>
  <cp:contentStatus/>
</cp:coreProperties>
</file>