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7iC\Downloads\"/>
    </mc:Choice>
  </mc:AlternateContent>
  <xr:revisionPtr revIDLastSave="0" documentId="13_ncr:1_{140A8915-CEBB-4F4F-A1E7-33635E08D0BA}" xr6:coauthVersionLast="47" xr6:coauthVersionMax="47" xr10:uidLastSave="{00000000-0000-0000-0000-000000000000}"/>
  <bookViews>
    <workbookView xWindow="1785" yWindow="-120" windowWidth="27135" windowHeight="16440" xr2:uid="{AD4B9AA3-F20A-45ED-B218-0FE4CB93DAA2}"/>
  </bookViews>
  <sheets>
    <sheet name="Summary" sheetId="1" r:id="rId1"/>
    <sheet name="World Boss Mats" sheetId="3" r:id="rId2"/>
    <sheet name="Talent Books" sheetId="4" r:id="rId3"/>
    <sheet name="Weekly Boss Mats" sheetId="5" r:id="rId4"/>
    <sheet name="Ascension Materials" sheetId="7" r:id="rId5"/>
  </sheets>
  <definedNames>
    <definedName name="_xlnm._FilterDatabase" localSheetId="0" hidden="1">Summary!$A$1:$AC$97</definedName>
    <definedName name="_xlnm._FilterDatabase" localSheetId="2" hidden="1">'Talent Books'!$G$9:$G$89</definedName>
    <definedName name="_xlnm._FilterDatabase" localSheetId="1" hidden="1">'World Boss Mats'!$A$1:$E$31</definedName>
    <definedName name="_xlnm.Extract" localSheetId="4">'Weekly Boss Mats'!$C$2</definedName>
    <definedName name="_xlnm.Extract" localSheetId="0">'World Boss Mats'!$B$2</definedName>
    <definedName name="_xlnm.Extract" localSheetId="2">'Talent Books'!#REF!</definedName>
    <definedName name="_xlnm.Extract" localSheetId="3">'Weekly Boss Mats'!$C$2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Z4" i="1"/>
  <c r="AA4" i="1"/>
  <c r="AB4" i="1"/>
  <c r="O4" i="1"/>
  <c r="L4" i="1" s="1"/>
  <c r="P4" i="1"/>
  <c r="Q4" i="1"/>
  <c r="Q88" i="1" s="1"/>
  <c r="R4" i="1"/>
  <c r="S4" i="1"/>
  <c r="T4" i="1"/>
  <c r="U4" i="1"/>
  <c r="V4" i="1"/>
  <c r="M4" i="1" s="1"/>
  <c r="W4" i="1"/>
  <c r="Z9" i="1"/>
  <c r="AA9" i="1"/>
  <c r="AB9" i="1"/>
  <c r="AB88" i="1" s="1"/>
  <c r="Z8" i="1"/>
  <c r="AA8" i="1"/>
  <c r="AB8" i="1"/>
  <c r="O9" i="1"/>
  <c r="P9" i="1"/>
  <c r="Q9" i="1"/>
  <c r="R9" i="1"/>
  <c r="L9" i="1" s="1"/>
  <c r="S9" i="1"/>
  <c r="T9" i="1"/>
  <c r="U9" i="1"/>
  <c r="V9" i="1"/>
  <c r="M9" i="1" s="1"/>
  <c r="W9" i="1"/>
  <c r="O8" i="1"/>
  <c r="P8" i="1"/>
  <c r="Q8" i="1"/>
  <c r="R8" i="1"/>
  <c r="L8" i="1" s="1"/>
  <c r="S8" i="1"/>
  <c r="T8" i="1"/>
  <c r="U8" i="1"/>
  <c r="V8" i="1"/>
  <c r="M8" i="1" s="1"/>
  <c r="W8" i="1"/>
  <c r="AE3" i="1"/>
  <c r="AE30" i="1"/>
  <c r="AE39" i="1"/>
  <c r="AE44" i="1"/>
  <c r="AE53" i="1"/>
  <c r="AE37" i="1"/>
  <c r="AE67" i="1"/>
  <c r="AE69" i="1"/>
  <c r="AE73" i="1"/>
  <c r="AE74" i="1"/>
  <c r="AE77" i="1"/>
  <c r="AE78" i="1"/>
  <c r="AE4" i="1"/>
  <c r="AE12" i="1"/>
  <c r="AE20" i="1"/>
  <c r="AE22" i="1"/>
  <c r="AE27" i="1"/>
  <c r="AE29" i="1"/>
  <c r="AE32" i="1"/>
  <c r="AE35" i="1"/>
  <c r="AE40" i="1"/>
  <c r="AE41" i="1"/>
  <c r="AE51" i="1"/>
  <c r="AE55" i="1"/>
  <c r="AE63" i="1"/>
  <c r="AE66" i="1"/>
  <c r="AE68" i="1"/>
  <c r="AE75" i="1"/>
  <c r="AE5" i="1"/>
  <c r="AE11" i="1"/>
  <c r="AE15" i="1"/>
  <c r="AE23" i="1"/>
  <c r="AE43" i="1"/>
  <c r="AE46" i="1"/>
  <c r="AE57" i="1"/>
  <c r="AE72" i="1"/>
  <c r="AE83" i="1"/>
  <c r="AE28" i="1"/>
  <c r="AE6" i="1"/>
  <c r="AE17" i="1"/>
  <c r="AE24" i="1"/>
  <c r="AE31" i="1"/>
  <c r="AE45" i="1"/>
  <c r="AE49" i="1"/>
  <c r="AE50" i="1"/>
  <c r="AE52" i="1"/>
  <c r="AE64" i="1"/>
  <c r="AE65" i="1"/>
  <c r="AE81" i="1"/>
  <c r="AE7" i="1"/>
  <c r="AE10" i="1"/>
  <c r="AE14" i="1"/>
  <c r="AE36" i="1"/>
  <c r="AE58" i="1"/>
  <c r="AE61" i="1"/>
  <c r="AE62" i="1"/>
  <c r="AE86" i="1"/>
  <c r="AE87" i="1"/>
  <c r="AE8" i="1"/>
  <c r="AE16" i="1"/>
  <c r="AE19" i="1"/>
  <c r="AE33" i="1"/>
  <c r="AE42" i="1"/>
  <c r="AE48" i="1"/>
  <c r="AE56" i="1"/>
  <c r="AE59" i="1"/>
  <c r="AE60" i="1"/>
  <c r="AE70" i="1"/>
  <c r="AE79" i="1"/>
  <c r="AE84" i="1"/>
  <c r="AE9" i="1"/>
  <c r="AE13" i="1"/>
  <c r="AE18" i="1"/>
  <c r="AE21" i="1"/>
  <c r="AE25" i="1"/>
  <c r="AE26" i="1"/>
  <c r="AE34" i="1"/>
  <c r="AE38" i="1"/>
  <c r="AE47" i="1"/>
  <c r="AE54" i="1"/>
  <c r="AE71" i="1"/>
  <c r="AE76" i="1"/>
  <c r="AE80" i="1"/>
  <c r="AE82" i="1"/>
  <c r="AE85" i="1"/>
  <c r="A16" i="5"/>
  <c r="C41" i="7"/>
  <c r="E41" i="7" s="1"/>
  <c r="AN80" i="1"/>
  <c r="AN3" i="1"/>
  <c r="AN30" i="1"/>
  <c r="AN39" i="1"/>
  <c r="AN44" i="1"/>
  <c r="AN53" i="1"/>
  <c r="AN37" i="1"/>
  <c r="AN67" i="1"/>
  <c r="AN69" i="1"/>
  <c r="AN73" i="1"/>
  <c r="AN74" i="1"/>
  <c r="AN77" i="1"/>
  <c r="AN78" i="1"/>
  <c r="AN4" i="1"/>
  <c r="AN12" i="1"/>
  <c r="AN20" i="1"/>
  <c r="AN22" i="1"/>
  <c r="AN27" i="1"/>
  <c r="AN29" i="1"/>
  <c r="AN32" i="1"/>
  <c r="AN35" i="1"/>
  <c r="AN40" i="1"/>
  <c r="AN41" i="1"/>
  <c r="AN51" i="1"/>
  <c r="AN55" i="1"/>
  <c r="AN63" i="1"/>
  <c r="AN66" i="1"/>
  <c r="AN68" i="1"/>
  <c r="AN75" i="1"/>
  <c r="AN5" i="1"/>
  <c r="AN11" i="1"/>
  <c r="AN15" i="1"/>
  <c r="AN23" i="1"/>
  <c r="AN43" i="1"/>
  <c r="AN46" i="1"/>
  <c r="AN57" i="1"/>
  <c r="AN72" i="1"/>
  <c r="AN83" i="1"/>
  <c r="AN28" i="1"/>
  <c r="AN6" i="1"/>
  <c r="AN17" i="1"/>
  <c r="AN24" i="1"/>
  <c r="AN31" i="1"/>
  <c r="AN45" i="1"/>
  <c r="AN49" i="1"/>
  <c r="AN50" i="1"/>
  <c r="AN52" i="1"/>
  <c r="AN64" i="1"/>
  <c r="AN65" i="1"/>
  <c r="AN81" i="1"/>
  <c r="AN7" i="1"/>
  <c r="AN10" i="1"/>
  <c r="AN14" i="1"/>
  <c r="AN36" i="1"/>
  <c r="AN58" i="1"/>
  <c r="AN61" i="1"/>
  <c r="AN62" i="1"/>
  <c r="AN86" i="1"/>
  <c r="AN87" i="1"/>
  <c r="AN8" i="1"/>
  <c r="AN16" i="1"/>
  <c r="AN19" i="1"/>
  <c r="AN33" i="1"/>
  <c r="AN42" i="1"/>
  <c r="AN48" i="1"/>
  <c r="AN56" i="1"/>
  <c r="AN59" i="1"/>
  <c r="AN60" i="1"/>
  <c r="AN70" i="1"/>
  <c r="AN79" i="1"/>
  <c r="AN84" i="1"/>
  <c r="AN9" i="1"/>
  <c r="AN13" i="1"/>
  <c r="AN18" i="1"/>
  <c r="AN21" i="1"/>
  <c r="AN25" i="1"/>
  <c r="AN26" i="1"/>
  <c r="AN34" i="1"/>
  <c r="AN38" i="1"/>
  <c r="AN47" i="1"/>
  <c r="AN54" i="1"/>
  <c r="AN71" i="1"/>
  <c r="AN76" i="1"/>
  <c r="AN82" i="1"/>
  <c r="AN85" i="1"/>
  <c r="AX3" i="1"/>
  <c r="AX30" i="1"/>
  <c r="AO30" i="1" s="1"/>
  <c r="BA30" i="1" s="1"/>
  <c r="AX39" i="1"/>
  <c r="AX44" i="1"/>
  <c r="AX53" i="1"/>
  <c r="AX37" i="1"/>
  <c r="AO37" i="1" s="1"/>
  <c r="BA37" i="1" s="1"/>
  <c r="AX67" i="1"/>
  <c r="AX69" i="1"/>
  <c r="AX73" i="1"/>
  <c r="AX74" i="1"/>
  <c r="AX77" i="1"/>
  <c r="AX78" i="1"/>
  <c r="AX4" i="1"/>
  <c r="AX12" i="1"/>
  <c r="AX20" i="1"/>
  <c r="AX22" i="1"/>
  <c r="AX27" i="1"/>
  <c r="AX29" i="1"/>
  <c r="AX32" i="1"/>
  <c r="AX35" i="1"/>
  <c r="AX40" i="1"/>
  <c r="AX41" i="1"/>
  <c r="AX51" i="1"/>
  <c r="AX55" i="1"/>
  <c r="AX63" i="1"/>
  <c r="AX66" i="1"/>
  <c r="AX68" i="1"/>
  <c r="AX75" i="1"/>
  <c r="AX5" i="1"/>
  <c r="AX11" i="1"/>
  <c r="AX15" i="1"/>
  <c r="AX23" i="1"/>
  <c r="AX43" i="1"/>
  <c r="AX46" i="1"/>
  <c r="AX57" i="1"/>
  <c r="AX72" i="1"/>
  <c r="AX83" i="1"/>
  <c r="AX28" i="1"/>
  <c r="AX6" i="1"/>
  <c r="AX17" i="1"/>
  <c r="AX24" i="1"/>
  <c r="AX31" i="1"/>
  <c r="AO31" i="1" s="1"/>
  <c r="BA31" i="1" s="1"/>
  <c r="AX45" i="1"/>
  <c r="AX49" i="1"/>
  <c r="AX50" i="1"/>
  <c r="AX52" i="1"/>
  <c r="AO52" i="1" s="1"/>
  <c r="AX64" i="1"/>
  <c r="AX65" i="1"/>
  <c r="AX81" i="1"/>
  <c r="AX7" i="1"/>
  <c r="AX10" i="1"/>
  <c r="AX14" i="1"/>
  <c r="AX36" i="1"/>
  <c r="AX58" i="1"/>
  <c r="AX61" i="1"/>
  <c r="AX62" i="1"/>
  <c r="AX86" i="1"/>
  <c r="AX87" i="1"/>
  <c r="AO87" i="1" s="1"/>
  <c r="AX8" i="1"/>
  <c r="AX16" i="1"/>
  <c r="AX19" i="1"/>
  <c r="AX33" i="1"/>
  <c r="AX42" i="1"/>
  <c r="AX48" i="1"/>
  <c r="AX56" i="1"/>
  <c r="AX59" i="1"/>
  <c r="AX60" i="1"/>
  <c r="AX70" i="1"/>
  <c r="AX79" i="1"/>
  <c r="AX84" i="1"/>
  <c r="AX9" i="1"/>
  <c r="AX13" i="1"/>
  <c r="AX18" i="1"/>
  <c r="AX21" i="1"/>
  <c r="AX25" i="1"/>
  <c r="AX26" i="1"/>
  <c r="AX34" i="1"/>
  <c r="AX38" i="1"/>
  <c r="AX47" i="1"/>
  <c r="AX54" i="1"/>
  <c r="AX71" i="1"/>
  <c r="AX76" i="1"/>
  <c r="AX80" i="1"/>
  <c r="AX82" i="1"/>
  <c r="AX85" i="1"/>
  <c r="AU3" i="1"/>
  <c r="AU88" i="1" s="1"/>
  <c r="AU30" i="1"/>
  <c r="AU39" i="1"/>
  <c r="AU44" i="1"/>
  <c r="AU53" i="1"/>
  <c r="AU37" i="1"/>
  <c r="AU67" i="1"/>
  <c r="AU69" i="1"/>
  <c r="AU73" i="1"/>
  <c r="AU74" i="1"/>
  <c r="AU77" i="1"/>
  <c r="AU78" i="1"/>
  <c r="AU4" i="1"/>
  <c r="AU12" i="1"/>
  <c r="AU20" i="1"/>
  <c r="AU22" i="1"/>
  <c r="AU27" i="1"/>
  <c r="AU29" i="1"/>
  <c r="AU32" i="1"/>
  <c r="AU35" i="1"/>
  <c r="AU40" i="1"/>
  <c r="AO40" i="1" s="1"/>
  <c r="AU41" i="1"/>
  <c r="AU51" i="1"/>
  <c r="AU55" i="1"/>
  <c r="AU63" i="1"/>
  <c r="AU66" i="1"/>
  <c r="AU68" i="1"/>
  <c r="AU75" i="1"/>
  <c r="AU5" i="1"/>
  <c r="AU11" i="1"/>
  <c r="AU15" i="1"/>
  <c r="AU23" i="1"/>
  <c r="AU43" i="1"/>
  <c r="AU46" i="1"/>
  <c r="AU57" i="1"/>
  <c r="AU72" i="1"/>
  <c r="AU83" i="1"/>
  <c r="AU28" i="1"/>
  <c r="AU6" i="1"/>
  <c r="AU17" i="1"/>
  <c r="AU24" i="1"/>
  <c r="AU31" i="1"/>
  <c r="AU45" i="1"/>
  <c r="AU49" i="1"/>
  <c r="AU50" i="1"/>
  <c r="AU52" i="1"/>
  <c r="AU64" i="1"/>
  <c r="AU65" i="1"/>
  <c r="AU81" i="1"/>
  <c r="AU7" i="1"/>
  <c r="AU10" i="1"/>
  <c r="AU14" i="1"/>
  <c r="AU36" i="1"/>
  <c r="AU58" i="1"/>
  <c r="AU61" i="1"/>
  <c r="AU62" i="1"/>
  <c r="AU86" i="1"/>
  <c r="AU87" i="1"/>
  <c r="AU8" i="1"/>
  <c r="AU16" i="1"/>
  <c r="AU19" i="1"/>
  <c r="AU33" i="1"/>
  <c r="AU42" i="1"/>
  <c r="AU48" i="1"/>
  <c r="AU56" i="1"/>
  <c r="AU59" i="1"/>
  <c r="AU60" i="1"/>
  <c r="AU70" i="1"/>
  <c r="AU79" i="1"/>
  <c r="AU84" i="1"/>
  <c r="AU9" i="1"/>
  <c r="AU13" i="1"/>
  <c r="AU18" i="1"/>
  <c r="AU21" i="1"/>
  <c r="AU25" i="1"/>
  <c r="AU26" i="1"/>
  <c r="AU34" i="1"/>
  <c r="AU38" i="1"/>
  <c r="AU47" i="1"/>
  <c r="AU54" i="1"/>
  <c r="AU71" i="1"/>
  <c r="AU76" i="1"/>
  <c r="AU80" i="1"/>
  <c r="AU82" i="1"/>
  <c r="AU85" i="1"/>
  <c r="AR3" i="1"/>
  <c r="AR30" i="1"/>
  <c r="AR39" i="1"/>
  <c r="AR44" i="1"/>
  <c r="AR53" i="1"/>
  <c r="AR37" i="1"/>
  <c r="AR67" i="1"/>
  <c r="AR69" i="1"/>
  <c r="AR73" i="1"/>
  <c r="AO73" i="1" s="1"/>
  <c r="AR74" i="1"/>
  <c r="AR77" i="1"/>
  <c r="AR78" i="1"/>
  <c r="AR4" i="1"/>
  <c r="AR12" i="1"/>
  <c r="AR20" i="1"/>
  <c r="AR22" i="1"/>
  <c r="AR27" i="1"/>
  <c r="AR29" i="1"/>
  <c r="AR32" i="1"/>
  <c r="AR35" i="1"/>
  <c r="AR40" i="1"/>
  <c r="AR41" i="1"/>
  <c r="AR51" i="1"/>
  <c r="AR55" i="1"/>
  <c r="AR63" i="1"/>
  <c r="AR66" i="1"/>
  <c r="AR68" i="1"/>
  <c r="AR75" i="1"/>
  <c r="AR5" i="1"/>
  <c r="AR11" i="1"/>
  <c r="AR15" i="1"/>
  <c r="AR23" i="1"/>
  <c r="AR43" i="1"/>
  <c r="AR46" i="1"/>
  <c r="AR57" i="1"/>
  <c r="AR72" i="1"/>
  <c r="AR83" i="1"/>
  <c r="AR28" i="1"/>
  <c r="AR6" i="1"/>
  <c r="AR17" i="1"/>
  <c r="AR24" i="1"/>
  <c r="AR31" i="1"/>
  <c r="AR45" i="1"/>
  <c r="AR49" i="1"/>
  <c r="AR50" i="1"/>
  <c r="AR52" i="1"/>
  <c r="AR64" i="1"/>
  <c r="AR65" i="1"/>
  <c r="AR81" i="1"/>
  <c r="AR7" i="1"/>
  <c r="AR10" i="1"/>
  <c r="AR14" i="1"/>
  <c r="AR36" i="1"/>
  <c r="AR58" i="1"/>
  <c r="AR61" i="1"/>
  <c r="AR62" i="1"/>
  <c r="AR86" i="1"/>
  <c r="AR87" i="1"/>
  <c r="AR8" i="1"/>
  <c r="AR16" i="1"/>
  <c r="AR19" i="1"/>
  <c r="AR33" i="1"/>
  <c r="AR42" i="1"/>
  <c r="AR48" i="1"/>
  <c r="AR56" i="1"/>
  <c r="AR59" i="1"/>
  <c r="AR60" i="1"/>
  <c r="AR70" i="1"/>
  <c r="AR79" i="1"/>
  <c r="AR84" i="1"/>
  <c r="AR9" i="1"/>
  <c r="AR13" i="1"/>
  <c r="AR18" i="1"/>
  <c r="AR21" i="1"/>
  <c r="AR25" i="1"/>
  <c r="AR26" i="1"/>
  <c r="AR34" i="1"/>
  <c r="AR38" i="1"/>
  <c r="AR47" i="1"/>
  <c r="AR54" i="1"/>
  <c r="AR71" i="1"/>
  <c r="AR76" i="1"/>
  <c r="AR80" i="1"/>
  <c r="AR82" i="1"/>
  <c r="AR85" i="1"/>
  <c r="AV3" i="1"/>
  <c r="AO66" i="1"/>
  <c r="AV30" i="1"/>
  <c r="AV39" i="1"/>
  <c r="AV44" i="1"/>
  <c r="AV53" i="1"/>
  <c r="AV37" i="1"/>
  <c r="AV67" i="1"/>
  <c r="AV69" i="1"/>
  <c r="AV73" i="1"/>
  <c r="AV74" i="1"/>
  <c r="AV77" i="1"/>
  <c r="AV78" i="1"/>
  <c r="AV4" i="1"/>
  <c r="AV12" i="1"/>
  <c r="AV20" i="1"/>
  <c r="AV22" i="1"/>
  <c r="AV27" i="1"/>
  <c r="AV29" i="1"/>
  <c r="AV32" i="1"/>
  <c r="AV35" i="1"/>
  <c r="AV40" i="1"/>
  <c r="AV41" i="1"/>
  <c r="AV51" i="1"/>
  <c r="AV55" i="1"/>
  <c r="AV63" i="1"/>
  <c r="AV66" i="1"/>
  <c r="AV68" i="1"/>
  <c r="AV75" i="1"/>
  <c r="AV5" i="1"/>
  <c r="AV11" i="1"/>
  <c r="AV15" i="1"/>
  <c r="AV23" i="1"/>
  <c r="AV43" i="1"/>
  <c r="AV46" i="1"/>
  <c r="AV57" i="1"/>
  <c r="AV72" i="1"/>
  <c r="AV83" i="1"/>
  <c r="AV28" i="1"/>
  <c r="AV6" i="1"/>
  <c r="AV17" i="1"/>
  <c r="AV24" i="1"/>
  <c r="AV31" i="1"/>
  <c r="AV45" i="1"/>
  <c r="AV49" i="1"/>
  <c r="AV50" i="1"/>
  <c r="AV52" i="1"/>
  <c r="AV64" i="1"/>
  <c r="AV65" i="1"/>
  <c r="AV81" i="1"/>
  <c r="AP81" i="1" s="1"/>
  <c r="AV7" i="1"/>
  <c r="AV10" i="1"/>
  <c r="AV14" i="1"/>
  <c r="AV36" i="1"/>
  <c r="AV58" i="1"/>
  <c r="AV61" i="1"/>
  <c r="AV62" i="1"/>
  <c r="AV86" i="1"/>
  <c r="AV87" i="1"/>
  <c r="AV8" i="1"/>
  <c r="AV16" i="1"/>
  <c r="AV19" i="1"/>
  <c r="AV33" i="1"/>
  <c r="AV42" i="1"/>
  <c r="AV48" i="1"/>
  <c r="AV56" i="1"/>
  <c r="AV59" i="1"/>
  <c r="AV60" i="1"/>
  <c r="AV70" i="1"/>
  <c r="AV79" i="1"/>
  <c r="AV84" i="1"/>
  <c r="AV9" i="1"/>
  <c r="AV13" i="1"/>
  <c r="AV18" i="1"/>
  <c r="AV21" i="1"/>
  <c r="AV25" i="1"/>
  <c r="AV26" i="1"/>
  <c r="AV34" i="1"/>
  <c r="AV38" i="1"/>
  <c r="AV47" i="1"/>
  <c r="AV54" i="1"/>
  <c r="AV71" i="1"/>
  <c r="AV76" i="1"/>
  <c r="AV80" i="1"/>
  <c r="AV82" i="1"/>
  <c r="AV85" i="1"/>
  <c r="AZ3" i="1"/>
  <c r="AZ30" i="1"/>
  <c r="AZ39" i="1"/>
  <c r="AZ44" i="1"/>
  <c r="AZ53" i="1"/>
  <c r="AZ37" i="1"/>
  <c r="AZ67" i="1"/>
  <c r="AZ69" i="1"/>
  <c r="AZ73" i="1"/>
  <c r="AZ74" i="1"/>
  <c r="AZ77" i="1"/>
  <c r="AZ78" i="1"/>
  <c r="AZ4" i="1"/>
  <c r="AZ12" i="1"/>
  <c r="AZ20" i="1"/>
  <c r="AZ22" i="1"/>
  <c r="AZ27" i="1"/>
  <c r="AZ29" i="1"/>
  <c r="AZ32" i="1"/>
  <c r="AZ35" i="1"/>
  <c r="AQ35" i="1" s="1"/>
  <c r="AZ40" i="1"/>
  <c r="AZ41" i="1"/>
  <c r="AZ51" i="1"/>
  <c r="AZ55" i="1"/>
  <c r="AZ63" i="1"/>
  <c r="AZ66" i="1"/>
  <c r="AZ68" i="1"/>
  <c r="AZ75" i="1"/>
  <c r="AZ5" i="1"/>
  <c r="AZ11" i="1"/>
  <c r="AZ15" i="1"/>
  <c r="AZ23" i="1"/>
  <c r="AQ23" i="1" s="1"/>
  <c r="BC23" i="1" s="1"/>
  <c r="AZ43" i="1"/>
  <c r="AZ46" i="1"/>
  <c r="AZ57" i="1"/>
  <c r="AZ72" i="1"/>
  <c r="AZ83" i="1"/>
  <c r="AZ28" i="1"/>
  <c r="AZ6" i="1"/>
  <c r="AZ17" i="1"/>
  <c r="AZ24" i="1"/>
  <c r="AZ31" i="1"/>
  <c r="AZ45" i="1"/>
  <c r="AZ49" i="1"/>
  <c r="AZ50" i="1"/>
  <c r="AZ52" i="1"/>
  <c r="AZ64" i="1"/>
  <c r="AZ65" i="1"/>
  <c r="AZ81" i="1"/>
  <c r="AZ7" i="1"/>
  <c r="AZ10" i="1"/>
  <c r="AZ14" i="1"/>
  <c r="AQ14" i="1" s="1"/>
  <c r="BC14" i="1" s="1"/>
  <c r="AZ36" i="1"/>
  <c r="AZ58" i="1"/>
  <c r="AZ61" i="1"/>
  <c r="AZ62" i="1"/>
  <c r="AZ86" i="1"/>
  <c r="AZ87" i="1"/>
  <c r="AZ8" i="1"/>
  <c r="AZ16" i="1"/>
  <c r="AZ19" i="1"/>
  <c r="AZ33" i="1"/>
  <c r="AZ42" i="1"/>
  <c r="AZ48" i="1"/>
  <c r="AZ56" i="1"/>
  <c r="AZ59" i="1"/>
  <c r="AZ60" i="1"/>
  <c r="AZ70" i="1"/>
  <c r="AZ79" i="1"/>
  <c r="AZ84" i="1"/>
  <c r="AZ9" i="1"/>
  <c r="AZ13" i="1"/>
  <c r="AZ88" i="1" s="1"/>
  <c r="AZ18" i="1"/>
  <c r="AZ21" i="1"/>
  <c r="AZ25" i="1"/>
  <c r="AZ26" i="1"/>
  <c r="AZ34" i="1"/>
  <c r="AZ38" i="1"/>
  <c r="AZ47" i="1"/>
  <c r="AZ54" i="1"/>
  <c r="AZ71" i="1"/>
  <c r="AZ76" i="1"/>
  <c r="AZ80" i="1"/>
  <c r="AZ82" i="1"/>
  <c r="AZ85" i="1"/>
  <c r="AY3" i="1"/>
  <c r="AY30" i="1"/>
  <c r="AY39" i="1"/>
  <c r="AP39" i="1" s="1"/>
  <c r="BB39" i="1" s="1"/>
  <c r="AY44" i="1"/>
  <c r="AY53" i="1"/>
  <c r="AY37" i="1"/>
  <c r="AY67" i="1"/>
  <c r="AY69" i="1"/>
  <c r="AY73" i="1"/>
  <c r="AY74" i="1"/>
  <c r="AY77" i="1"/>
  <c r="AY78" i="1"/>
  <c r="AY4" i="1"/>
  <c r="AY12" i="1"/>
  <c r="AY20" i="1"/>
  <c r="AP20" i="1" s="1"/>
  <c r="AY22" i="1"/>
  <c r="AY27" i="1"/>
  <c r="AY29" i="1"/>
  <c r="AY32" i="1"/>
  <c r="AY35" i="1"/>
  <c r="AY40" i="1"/>
  <c r="AY41" i="1"/>
  <c r="AY51" i="1"/>
  <c r="AY55" i="1"/>
  <c r="AY63" i="1"/>
  <c r="AY66" i="1"/>
  <c r="AY68" i="1"/>
  <c r="AY75" i="1"/>
  <c r="AY5" i="1"/>
  <c r="AY11" i="1"/>
  <c r="AY15" i="1"/>
  <c r="AY23" i="1"/>
  <c r="AY43" i="1"/>
  <c r="AY46" i="1"/>
  <c r="AY57" i="1"/>
  <c r="AY72" i="1"/>
  <c r="AY83" i="1"/>
  <c r="AY28" i="1"/>
  <c r="AY6" i="1"/>
  <c r="AY88" i="1" s="1"/>
  <c r="AY17" i="1"/>
  <c r="AY24" i="1"/>
  <c r="AY31" i="1"/>
  <c r="AY45" i="1"/>
  <c r="AY49" i="1"/>
  <c r="AY50" i="1"/>
  <c r="AY52" i="1"/>
  <c r="AY64" i="1"/>
  <c r="AY65" i="1"/>
  <c r="AY81" i="1"/>
  <c r="AY7" i="1"/>
  <c r="AY10" i="1"/>
  <c r="AY14" i="1"/>
  <c r="AY36" i="1"/>
  <c r="AY58" i="1"/>
  <c r="AY61" i="1"/>
  <c r="AY62" i="1"/>
  <c r="AY86" i="1"/>
  <c r="AY87" i="1"/>
  <c r="AY8" i="1"/>
  <c r="AY16" i="1"/>
  <c r="AY19" i="1"/>
  <c r="AY33" i="1"/>
  <c r="AY42" i="1"/>
  <c r="AP42" i="1" s="1"/>
  <c r="AY48" i="1"/>
  <c r="AY56" i="1"/>
  <c r="AY59" i="1"/>
  <c r="AY60" i="1"/>
  <c r="AY70" i="1"/>
  <c r="AY79" i="1"/>
  <c r="AY84" i="1"/>
  <c r="AY9" i="1"/>
  <c r="AY13" i="1"/>
  <c r="AY18" i="1"/>
  <c r="AY21" i="1"/>
  <c r="AY25" i="1"/>
  <c r="AY26" i="1"/>
  <c r="AY34" i="1"/>
  <c r="AY38" i="1"/>
  <c r="AY47" i="1"/>
  <c r="AY54" i="1"/>
  <c r="AY71" i="1"/>
  <c r="AY76" i="1"/>
  <c r="AY80" i="1"/>
  <c r="AY82" i="1"/>
  <c r="AY85" i="1"/>
  <c r="AW3" i="1"/>
  <c r="AW30" i="1"/>
  <c r="AW39" i="1"/>
  <c r="AW44" i="1"/>
  <c r="AW53" i="1"/>
  <c r="AW37" i="1"/>
  <c r="AW67" i="1"/>
  <c r="AW69" i="1"/>
  <c r="AW73" i="1"/>
  <c r="AW74" i="1"/>
  <c r="AW77" i="1"/>
  <c r="AW78" i="1"/>
  <c r="AW4" i="1"/>
  <c r="AW12" i="1"/>
  <c r="AW20" i="1"/>
  <c r="AW22" i="1"/>
  <c r="AW27" i="1"/>
  <c r="AW29" i="1"/>
  <c r="AW32" i="1"/>
  <c r="AW35" i="1"/>
  <c r="AW40" i="1"/>
  <c r="AW41" i="1"/>
  <c r="AW51" i="1"/>
  <c r="AW55" i="1"/>
  <c r="AW63" i="1"/>
  <c r="AW66" i="1"/>
  <c r="AW68" i="1"/>
  <c r="AW75" i="1"/>
  <c r="AW5" i="1"/>
  <c r="AW11" i="1"/>
  <c r="AW15" i="1"/>
  <c r="AW23" i="1"/>
  <c r="AW43" i="1"/>
  <c r="AW46" i="1"/>
  <c r="AW57" i="1"/>
  <c r="AW72" i="1"/>
  <c r="AW83" i="1"/>
  <c r="AW28" i="1"/>
  <c r="AQ28" i="1" s="1"/>
  <c r="AW6" i="1"/>
  <c r="AW17" i="1"/>
  <c r="AW24" i="1"/>
  <c r="AW31" i="1"/>
  <c r="AW45" i="1"/>
  <c r="AW49" i="1"/>
  <c r="AW50" i="1"/>
  <c r="AW52" i="1"/>
  <c r="AW64" i="1"/>
  <c r="AW65" i="1"/>
  <c r="AW81" i="1"/>
  <c r="AW7" i="1"/>
  <c r="AQ7" i="1" s="1"/>
  <c r="AW10" i="1"/>
  <c r="AW14" i="1"/>
  <c r="AW36" i="1"/>
  <c r="AW58" i="1"/>
  <c r="AW61" i="1"/>
  <c r="AW62" i="1"/>
  <c r="AW86" i="1"/>
  <c r="AW87" i="1"/>
  <c r="AW8" i="1"/>
  <c r="AW16" i="1"/>
  <c r="AW19" i="1"/>
  <c r="AW33" i="1"/>
  <c r="AW42" i="1"/>
  <c r="AW48" i="1"/>
  <c r="AW56" i="1"/>
  <c r="AW59" i="1"/>
  <c r="AW60" i="1"/>
  <c r="AW70" i="1"/>
  <c r="AW79" i="1"/>
  <c r="AW84" i="1"/>
  <c r="AW9" i="1"/>
  <c r="AW13" i="1"/>
  <c r="AW18" i="1"/>
  <c r="AW21" i="1"/>
  <c r="AW25" i="1"/>
  <c r="AW26" i="1"/>
  <c r="AW34" i="1"/>
  <c r="AW38" i="1"/>
  <c r="AW47" i="1"/>
  <c r="AW54" i="1"/>
  <c r="AW71" i="1"/>
  <c r="AW76" i="1"/>
  <c r="AW80" i="1"/>
  <c r="AW82" i="1"/>
  <c r="AW85" i="1"/>
  <c r="AS3" i="1"/>
  <c r="AP3" i="1" s="1"/>
  <c r="AS30" i="1"/>
  <c r="AP30" i="1" s="1"/>
  <c r="AS39" i="1"/>
  <c r="AS44" i="1"/>
  <c r="AP44" i="1" s="1"/>
  <c r="BB44" i="1" s="1"/>
  <c r="AS53" i="1"/>
  <c r="AS37" i="1"/>
  <c r="AP37" i="1"/>
  <c r="AS67" i="1"/>
  <c r="AS69" i="1"/>
  <c r="AS73" i="1"/>
  <c r="AS74" i="1"/>
  <c r="AS77" i="1"/>
  <c r="AS78" i="1"/>
  <c r="AS4" i="1"/>
  <c r="AS12" i="1"/>
  <c r="AP12" i="1"/>
  <c r="AS20" i="1"/>
  <c r="AS22" i="1"/>
  <c r="AS27" i="1"/>
  <c r="AS29" i="1"/>
  <c r="AP29" i="1" s="1"/>
  <c r="AS32" i="1"/>
  <c r="AS35" i="1"/>
  <c r="AS40" i="1"/>
  <c r="AS41" i="1"/>
  <c r="AP41" i="1" s="1"/>
  <c r="AS51" i="1"/>
  <c r="AS55" i="1"/>
  <c r="AS63" i="1"/>
  <c r="AS66" i="1"/>
  <c r="AP66" i="1" s="1"/>
  <c r="BB66" i="1" s="1"/>
  <c r="AS68" i="1"/>
  <c r="AP68" i="1" s="1"/>
  <c r="BB68" i="1" s="1"/>
  <c r="AS75" i="1"/>
  <c r="AS5" i="1"/>
  <c r="AS11" i="1"/>
  <c r="AP11" i="1" s="1"/>
  <c r="AS15" i="1"/>
  <c r="AS23" i="1"/>
  <c r="AS43" i="1"/>
  <c r="AP43" i="1" s="1"/>
  <c r="BB43" i="1" s="1"/>
  <c r="AS46" i="1"/>
  <c r="AP46" i="1" s="1"/>
  <c r="BB46" i="1" s="1"/>
  <c r="AS57" i="1"/>
  <c r="AP57" i="1" s="1"/>
  <c r="BB57" i="1" s="1"/>
  <c r="AS72" i="1"/>
  <c r="AS83" i="1"/>
  <c r="AS28" i="1"/>
  <c r="AP28" i="1"/>
  <c r="AS6" i="1"/>
  <c r="AS17" i="1"/>
  <c r="AS24" i="1"/>
  <c r="AS31" i="1"/>
  <c r="AP31" i="1" s="1"/>
  <c r="BB31" i="1" s="1"/>
  <c r="AS45" i="1"/>
  <c r="AS49" i="1"/>
  <c r="AS50" i="1"/>
  <c r="AS52" i="1"/>
  <c r="AP52" i="1" s="1"/>
  <c r="AS64" i="1"/>
  <c r="AS65" i="1"/>
  <c r="AP65" i="1" s="1"/>
  <c r="AS81" i="1"/>
  <c r="AS7" i="1"/>
  <c r="AP7" i="1" s="1"/>
  <c r="AS10" i="1"/>
  <c r="AS14" i="1"/>
  <c r="AS36" i="1"/>
  <c r="AS58" i="1"/>
  <c r="AP58" i="1"/>
  <c r="AS61" i="1"/>
  <c r="AS62" i="1"/>
  <c r="AS86" i="1"/>
  <c r="AS87" i="1"/>
  <c r="AP87" i="1" s="1"/>
  <c r="BB87" i="1" s="1"/>
  <c r="AS8" i="1"/>
  <c r="AS16" i="1"/>
  <c r="AS19" i="1"/>
  <c r="AP19" i="1" s="1"/>
  <c r="BB19" i="1" s="1"/>
  <c r="AS33" i="1"/>
  <c r="AP33" i="1" s="1"/>
  <c r="AS42" i="1"/>
  <c r="AS48" i="1"/>
  <c r="AP48" i="1" s="1"/>
  <c r="BB48" i="1" s="1"/>
  <c r="AS56" i="1"/>
  <c r="AS59" i="1"/>
  <c r="AP59" i="1" s="1"/>
  <c r="BB59" i="1" s="1"/>
  <c r="AS60" i="1"/>
  <c r="AS70" i="1"/>
  <c r="AS79" i="1"/>
  <c r="AS84" i="1"/>
  <c r="AP84" i="1"/>
  <c r="AS9" i="1"/>
  <c r="AS13" i="1"/>
  <c r="AS18" i="1"/>
  <c r="AS21" i="1"/>
  <c r="AP21" i="1" s="1"/>
  <c r="BB21" i="1" s="1"/>
  <c r="AS25" i="1"/>
  <c r="AS26" i="1"/>
  <c r="AS34" i="1"/>
  <c r="AS38" i="1"/>
  <c r="AP38" i="1" s="1"/>
  <c r="AS47" i="1"/>
  <c r="AS54" i="1"/>
  <c r="AS71" i="1"/>
  <c r="AS76" i="1"/>
  <c r="AP76" i="1" s="1"/>
  <c r="AS80" i="1"/>
  <c r="AS82" i="1"/>
  <c r="AS85" i="1"/>
  <c r="AP85" i="1" s="1"/>
  <c r="BB85" i="1" s="1"/>
  <c r="AT3" i="1"/>
  <c r="AQ3" i="1" s="1"/>
  <c r="BC3" i="1" s="1"/>
  <c r="AT30" i="1"/>
  <c r="AT39" i="1"/>
  <c r="AT44" i="1"/>
  <c r="AT53" i="1"/>
  <c r="AQ53" i="1" s="1"/>
  <c r="BC53" i="1" s="1"/>
  <c r="AT37" i="1"/>
  <c r="AT67" i="1"/>
  <c r="AT69" i="1"/>
  <c r="AQ69" i="1" s="1"/>
  <c r="AT73" i="1"/>
  <c r="AQ73" i="1"/>
  <c r="AT74" i="1"/>
  <c r="AT77" i="1"/>
  <c r="AT78" i="1"/>
  <c r="AT4" i="1"/>
  <c r="AQ4" i="1" s="1"/>
  <c r="BC4" i="1" s="1"/>
  <c r="AT12" i="1"/>
  <c r="AT20" i="1"/>
  <c r="AT22" i="1"/>
  <c r="AT27" i="1"/>
  <c r="AQ27" i="1" s="1"/>
  <c r="AT29" i="1"/>
  <c r="AT32" i="1"/>
  <c r="AT35" i="1"/>
  <c r="AT40" i="1"/>
  <c r="AQ40" i="1" s="1"/>
  <c r="AT41" i="1"/>
  <c r="AT51" i="1"/>
  <c r="AT55" i="1"/>
  <c r="AQ55" i="1" s="1"/>
  <c r="AT63" i="1"/>
  <c r="AQ63" i="1" s="1"/>
  <c r="BC63" i="1" s="1"/>
  <c r="AT66" i="1"/>
  <c r="AT68" i="1"/>
  <c r="AT75" i="1"/>
  <c r="AQ75" i="1" s="1"/>
  <c r="AT5" i="1"/>
  <c r="AQ5" i="1" s="1"/>
  <c r="AT11" i="1"/>
  <c r="AT15" i="1"/>
  <c r="AT23" i="1"/>
  <c r="AT43" i="1"/>
  <c r="AQ43" i="1"/>
  <c r="AT46" i="1"/>
  <c r="AT57" i="1"/>
  <c r="AT72" i="1"/>
  <c r="AT83" i="1"/>
  <c r="AQ83" i="1" s="1"/>
  <c r="BC83" i="1" s="1"/>
  <c r="AT28" i="1"/>
  <c r="AT6" i="1"/>
  <c r="AT17" i="1"/>
  <c r="AT24" i="1"/>
  <c r="AQ24" i="1" s="1"/>
  <c r="AT31" i="1"/>
  <c r="AT45" i="1"/>
  <c r="AT49" i="1"/>
  <c r="AQ49" i="1" s="1"/>
  <c r="BC49" i="1" s="1"/>
  <c r="AT50" i="1"/>
  <c r="AQ50" i="1"/>
  <c r="AT52" i="1"/>
  <c r="AT64" i="1"/>
  <c r="AT65" i="1"/>
  <c r="AT81" i="1"/>
  <c r="AT7" i="1"/>
  <c r="AT10" i="1"/>
  <c r="AT14" i="1"/>
  <c r="AT36" i="1"/>
  <c r="AQ36" i="1" s="1"/>
  <c r="BC36" i="1" s="1"/>
  <c r="AT58" i="1"/>
  <c r="AT61" i="1"/>
  <c r="AT62" i="1"/>
  <c r="AQ62" i="1" s="1"/>
  <c r="AT86" i="1"/>
  <c r="AQ86" i="1" s="1"/>
  <c r="AT87" i="1"/>
  <c r="AQ87" i="1" s="1"/>
  <c r="AT8" i="1"/>
  <c r="AT16" i="1"/>
  <c r="AT19" i="1"/>
  <c r="AQ19" i="1" s="1"/>
  <c r="AT33" i="1"/>
  <c r="AT42" i="1"/>
  <c r="AT48" i="1"/>
  <c r="AQ48" i="1" s="1"/>
  <c r="AT56" i="1"/>
  <c r="AQ56" i="1" s="1"/>
  <c r="BC56" i="1" s="1"/>
  <c r="AT59" i="1"/>
  <c r="AT60" i="1"/>
  <c r="AT70" i="1"/>
  <c r="AT79" i="1"/>
  <c r="AT84" i="1"/>
  <c r="AT9" i="1"/>
  <c r="AT13" i="1"/>
  <c r="AQ13" i="1" s="1"/>
  <c r="AT18" i="1"/>
  <c r="AT21" i="1"/>
  <c r="AQ21" i="1" s="1"/>
  <c r="AT25" i="1"/>
  <c r="AT26" i="1"/>
  <c r="AT34" i="1"/>
  <c r="AQ34" i="1"/>
  <c r="AT38" i="1"/>
  <c r="AT47" i="1"/>
  <c r="AT54" i="1"/>
  <c r="AT71" i="1"/>
  <c r="AQ71" i="1" s="1"/>
  <c r="AT76" i="1"/>
  <c r="AT80" i="1"/>
  <c r="AT82" i="1"/>
  <c r="AT85" i="1"/>
  <c r="AQ85" i="1" s="1"/>
  <c r="AM30" i="1"/>
  <c r="AM39" i="1"/>
  <c r="AM44" i="1"/>
  <c r="AM53" i="1"/>
  <c r="AM37" i="1"/>
  <c r="AM67" i="1"/>
  <c r="AM69" i="1"/>
  <c r="AM73" i="1"/>
  <c r="AM74" i="1"/>
  <c r="AM77" i="1"/>
  <c r="AM78" i="1"/>
  <c r="AM4" i="1"/>
  <c r="AM12" i="1"/>
  <c r="AM20" i="1"/>
  <c r="AM22" i="1"/>
  <c r="AM27" i="1"/>
  <c r="AM29" i="1"/>
  <c r="AM32" i="1"/>
  <c r="AM35" i="1"/>
  <c r="AM40" i="1"/>
  <c r="AM41" i="1"/>
  <c r="AM51" i="1"/>
  <c r="AM55" i="1"/>
  <c r="AM63" i="1"/>
  <c r="AM66" i="1"/>
  <c r="AM68" i="1"/>
  <c r="AM75" i="1"/>
  <c r="AM5" i="1"/>
  <c r="AM11" i="1"/>
  <c r="AM15" i="1"/>
  <c r="AM23" i="1"/>
  <c r="AM43" i="1"/>
  <c r="AM46" i="1"/>
  <c r="AM57" i="1"/>
  <c r="AM72" i="1"/>
  <c r="AM83" i="1"/>
  <c r="AM28" i="1"/>
  <c r="AM6" i="1"/>
  <c r="AM17" i="1"/>
  <c r="AM24" i="1"/>
  <c r="AM31" i="1"/>
  <c r="AM45" i="1"/>
  <c r="AM49" i="1"/>
  <c r="AM50" i="1"/>
  <c r="AM52" i="1"/>
  <c r="AM64" i="1"/>
  <c r="AM65" i="1"/>
  <c r="AM81" i="1"/>
  <c r="AM7" i="1"/>
  <c r="AM10" i="1"/>
  <c r="AM14" i="1"/>
  <c r="AM36" i="1"/>
  <c r="AM58" i="1"/>
  <c r="AM61" i="1"/>
  <c r="AM62" i="1"/>
  <c r="AM86" i="1"/>
  <c r="AM87" i="1"/>
  <c r="AM8" i="1"/>
  <c r="AM16" i="1"/>
  <c r="AM19" i="1"/>
  <c r="AM33" i="1"/>
  <c r="AM42" i="1"/>
  <c r="AM48" i="1"/>
  <c r="AM56" i="1"/>
  <c r="AM59" i="1"/>
  <c r="AM60" i="1"/>
  <c r="AM70" i="1"/>
  <c r="AM79" i="1"/>
  <c r="AM84" i="1"/>
  <c r="AM9" i="1"/>
  <c r="AM13" i="1"/>
  <c r="AM18" i="1"/>
  <c r="AM21" i="1"/>
  <c r="AM25" i="1"/>
  <c r="AM26" i="1"/>
  <c r="AM34" i="1"/>
  <c r="AM38" i="1"/>
  <c r="AM47" i="1"/>
  <c r="AM54" i="1"/>
  <c r="AM71" i="1"/>
  <c r="AM76" i="1"/>
  <c r="AM80" i="1"/>
  <c r="AM82" i="1"/>
  <c r="AM85" i="1"/>
  <c r="AL30" i="1"/>
  <c r="AL39" i="1"/>
  <c r="AL44" i="1"/>
  <c r="AL53" i="1"/>
  <c r="AL37" i="1"/>
  <c r="AL67" i="1"/>
  <c r="AL69" i="1"/>
  <c r="AL73" i="1"/>
  <c r="AL74" i="1"/>
  <c r="AL77" i="1"/>
  <c r="AL78" i="1"/>
  <c r="AL4" i="1"/>
  <c r="AL12" i="1"/>
  <c r="AL20" i="1"/>
  <c r="AL22" i="1"/>
  <c r="AL27" i="1"/>
  <c r="AL29" i="1"/>
  <c r="AL32" i="1"/>
  <c r="AL35" i="1"/>
  <c r="AL40" i="1"/>
  <c r="AL41" i="1"/>
  <c r="AL51" i="1"/>
  <c r="AL55" i="1"/>
  <c r="AL63" i="1"/>
  <c r="AL66" i="1"/>
  <c r="AL68" i="1"/>
  <c r="AL75" i="1"/>
  <c r="AL5" i="1"/>
  <c r="AL11" i="1"/>
  <c r="AL15" i="1"/>
  <c r="AL23" i="1"/>
  <c r="AL43" i="1"/>
  <c r="AL46" i="1"/>
  <c r="AL57" i="1"/>
  <c r="AL72" i="1"/>
  <c r="AL83" i="1"/>
  <c r="AL28" i="1"/>
  <c r="AL6" i="1"/>
  <c r="AL17" i="1"/>
  <c r="AL24" i="1"/>
  <c r="AL31" i="1"/>
  <c r="AL45" i="1"/>
  <c r="AL49" i="1"/>
  <c r="AL50" i="1"/>
  <c r="AL52" i="1"/>
  <c r="AL64" i="1"/>
  <c r="AL65" i="1"/>
  <c r="AL81" i="1"/>
  <c r="AL7" i="1"/>
  <c r="AL10" i="1"/>
  <c r="AL14" i="1"/>
  <c r="AL36" i="1"/>
  <c r="AL58" i="1"/>
  <c r="AL61" i="1"/>
  <c r="AL62" i="1"/>
  <c r="AL86" i="1"/>
  <c r="AL87" i="1"/>
  <c r="AL8" i="1"/>
  <c r="AL16" i="1"/>
  <c r="AL19" i="1"/>
  <c r="AL33" i="1"/>
  <c r="AL42" i="1"/>
  <c r="AL48" i="1"/>
  <c r="AL56" i="1"/>
  <c r="AL59" i="1"/>
  <c r="AL60" i="1"/>
  <c r="AL70" i="1"/>
  <c r="AL79" i="1"/>
  <c r="AL84" i="1"/>
  <c r="AL9" i="1"/>
  <c r="AL13" i="1"/>
  <c r="AL18" i="1"/>
  <c r="AL21" i="1"/>
  <c r="AL25" i="1"/>
  <c r="AL26" i="1"/>
  <c r="AL34" i="1"/>
  <c r="AL38" i="1"/>
  <c r="AL47" i="1"/>
  <c r="AL54" i="1"/>
  <c r="AL71" i="1"/>
  <c r="AL76" i="1"/>
  <c r="AL80" i="1"/>
  <c r="AL82" i="1"/>
  <c r="AL85" i="1"/>
  <c r="AL3" i="1"/>
  <c r="AM3" i="1"/>
  <c r="AH85" i="1"/>
  <c r="AH82" i="1"/>
  <c r="AH80" i="1"/>
  <c r="AH76" i="1"/>
  <c r="AH71" i="1"/>
  <c r="AH54" i="1"/>
  <c r="AH47" i="1"/>
  <c r="AH38" i="1"/>
  <c r="AH34" i="1"/>
  <c r="AH26" i="1"/>
  <c r="AH25" i="1"/>
  <c r="AH21" i="1"/>
  <c r="J9" i="7" s="1"/>
  <c r="L9" i="7" s="1"/>
  <c r="AH18" i="1"/>
  <c r="AH13" i="1"/>
  <c r="AH9" i="1"/>
  <c r="AH84" i="1"/>
  <c r="AH79" i="1"/>
  <c r="AH70" i="1"/>
  <c r="AH60" i="1"/>
  <c r="AH59" i="1"/>
  <c r="AH56" i="1"/>
  <c r="AH48" i="1"/>
  <c r="AH42" i="1"/>
  <c r="AH33" i="1"/>
  <c r="AH19" i="1"/>
  <c r="AH16" i="1"/>
  <c r="J13" i="7" s="1"/>
  <c r="L13" i="7" s="1"/>
  <c r="AH8" i="1"/>
  <c r="AH87" i="1"/>
  <c r="AH86" i="1"/>
  <c r="AH62" i="1"/>
  <c r="AH61" i="1"/>
  <c r="AH58" i="1"/>
  <c r="AH36" i="1"/>
  <c r="AH14" i="1"/>
  <c r="AH10" i="1"/>
  <c r="AH7" i="1"/>
  <c r="AH81" i="1"/>
  <c r="AH65" i="1"/>
  <c r="AH64" i="1"/>
  <c r="AH52" i="1"/>
  <c r="AH50" i="1"/>
  <c r="AH49" i="1"/>
  <c r="AH45" i="1"/>
  <c r="AH31" i="1"/>
  <c r="J21" i="7" s="1"/>
  <c r="L21" i="7" s="1"/>
  <c r="AH24" i="1"/>
  <c r="AH17" i="1"/>
  <c r="AH6" i="1"/>
  <c r="AH28" i="1"/>
  <c r="AH83" i="1"/>
  <c r="AH72" i="1"/>
  <c r="AH57" i="1"/>
  <c r="AH46" i="1"/>
  <c r="AH43" i="1"/>
  <c r="AH23" i="1"/>
  <c r="AH15" i="1"/>
  <c r="AH11" i="1"/>
  <c r="AH5" i="1"/>
  <c r="AH75" i="1"/>
  <c r="AH68" i="1"/>
  <c r="AH66" i="1"/>
  <c r="AH63" i="1"/>
  <c r="AH55" i="1"/>
  <c r="AH51" i="1"/>
  <c r="AH41" i="1"/>
  <c r="AH40" i="1"/>
  <c r="AH35" i="1"/>
  <c r="AH32" i="1"/>
  <c r="AH29" i="1"/>
  <c r="AH27" i="1"/>
  <c r="AH22" i="1"/>
  <c r="AH20" i="1"/>
  <c r="AH12" i="1"/>
  <c r="AH4" i="1"/>
  <c r="AH78" i="1"/>
  <c r="AH77" i="1"/>
  <c r="AH74" i="1"/>
  <c r="AH73" i="1"/>
  <c r="AH69" i="1"/>
  <c r="AH67" i="1"/>
  <c r="AH37" i="1"/>
  <c r="AH53" i="1"/>
  <c r="AH44" i="1"/>
  <c r="AH39" i="1"/>
  <c r="AH30" i="1"/>
  <c r="AH3" i="1"/>
  <c r="AJ85" i="1"/>
  <c r="AJ82" i="1"/>
  <c r="AJ80" i="1"/>
  <c r="AJ76" i="1"/>
  <c r="AJ71" i="1"/>
  <c r="AJ54" i="1"/>
  <c r="AJ47" i="1"/>
  <c r="AJ38" i="1"/>
  <c r="AJ34" i="1"/>
  <c r="AJ26" i="1"/>
  <c r="AJ25" i="1"/>
  <c r="AJ21" i="1"/>
  <c r="AJ18" i="1"/>
  <c r="AJ13" i="1"/>
  <c r="AJ9" i="1"/>
  <c r="AJ84" i="1"/>
  <c r="AJ79" i="1"/>
  <c r="AJ70" i="1"/>
  <c r="AJ60" i="1"/>
  <c r="AJ59" i="1"/>
  <c r="AJ56" i="1"/>
  <c r="AJ48" i="1"/>
  <c r="AJ42" i="1"/>
  <c r="AJ33" i="1"/>
  <c r="AJ19" i="1"/>
  <c r="J11" i="7" s="1"/>
  <c r="L11" i="7" s="1"/>
  <c r="AJ16" i="1"/>
  <c r="AJ8" i="1"/>
  <c r="AJ87" i="1"/>
  <c r="AJ86" i="1"/>
  <c r="AJ62" i="1"/>
  <c r="AJ61" i="1"/>
  <c r="AJ58" i="1"/>
  <c r="AJ36" i="1"/>
  <c r="J31" i="7" s="1"/>
  <c r="L31" i="7" s="1"/>
  <c r="AJ14" i="1"/>
  <c r="AJ10" i="1"/>
  <c r="AJ7" i="1"/>
  <c r="AJ81" i="1"/>
  <c r="AJ65" i="1"/>
  <c r="AJ64" i="1"/>
  <c r="AJ52" i="1"/>
  <c r="AJ50" i="1"/>
  <c r="AJ49" i="1"/>
  <c r="AJ45" i="1"/>
  <c r="AJ31" i="1"/>
  <c r="AJ24" i="1"/>
  <c r="AJ17" i="1"/>
  <c r="AJ6" i="1"/>
  <c r="AJ28" i="1"/>
  <c r="AJ83" i="1"/>
  <c r="AJ72" i="1"/>
  <c r="AJ57" i="1"/>
  <c r="AJ46" i="1"/>
  <c r="AJ43" i="1"/>
  <c r="J15" i="7" s="1"/>
  <c r="L15" i="7" s="1"/>
  <c r="AJ23" i="1"/>
  <c r="AJ15" i="1"/>
  <c r="AJ11" i="1"/>
  <c r="AJ5" i="1"/>
  <c r="AJ75" i="1"/>
  <c r="AJ68" i="1"/>
  <c r="AJ66" i="1"/>
  <c r="AJ63" i="1"/>
  <c r="AJ55" i="1"/>
  <c r="AJ51" i="1"/>
  <c r="AJ41" i="1"/>
  <c r="AJ40" i="1"/>
  <c r="AJ35" i="1"/>
  <c r="AJ32" i="1"/>
  <c r="AJ29" i="1"/>
  <c r="AJ27" i="1"/>
  <c r="J27" i="7" s="1"/>
  <c r="L27" i="7" s="1"/>
  <c r="AJ22" i="1"/>
  <c r="AJ20" i="1"/>
  <c r="AJ12" i="1"/>
  <c r="AJ4" i="1"/>
  <c r="AJ78" i="1"/>
  <c r="AJ77" i="1"/>
  <c r="AJ74" i="1"/>
  <c r="AJ73" i="1"/>
  <c r="AJ69" i="1"/>
  <c r="AJ67" i="1"/>
  <c r="AJ37" i="1"/>
  <c r="AJ53" i="1"/>
  <c r="J23" i="7" s="1"/>
  <c r="L23" i="7" s="1"/>
  <c r="AJ44" i="1"/>
  <c r="AJ39" i="1"/>
  <c r="AJ30" i="1"/>
  <c r="AJ3" i="1"/>
  <c r="J3" i="7" s="1"/>
  <c r="L3" i="7" s="1"/>
  <c r="AG85" i="1"/>
  <c r="AG82" i="1"/>
  <c r="AG80" i="1"/>
  <c r="AG76" i="1"/>
  <c r="AG71" i="1"/>
  <c r="AG54" i="1"/>
  <c r="AG47" i="1"/>
  <c r="AG38" i="1"/>
  <c r="AG34" i="1"/>
  <c r="AG26" i="1"/>
  <c r="AG25" i="1"/>
  <c r="AG21" i="1"/>
  <c r="AG18" i="1"/>
  <c r="AG13" i="1"/>
  <c r="AG9" i="1"/>
  <c r="AG84" i="1"/>
  <c r="AG79" i="1"/>
  <c r="AG70" i="1"/>
  <c r="AG60" i="1"/>
  <c r="AG59" i="1"/>
  <c r="AG56" i="1"/>
  <c r="AG48" i="1"/>
  <c r="AG42" i="1"/>
  <c r="AG33" i="1"/>
  <c r="AG19" i="1"/>
  <c r="AG16" i="1"/>
  <c r="J14" i="7" s="1"/>
  <c r="L14" i="7" s="1"/>
  <c r="AG8" i="1"/>
  <c r="AG87" i="1"/>
  <c r="AG86" i="1"/>
  <c r="AG62" i="1"/>
  <c r="AG61" i="1"/>
  <c r="AG58" i="1"/>
  <c r="AG36" i="1"/>
  <c r="AG14" i="1"/>
  <c r="AG10" i="1"/>
  <c r="AG7" i="1"/>
  <c r="AG81" i="1"/>
  <c r="AG65" i="1"/>
  <c r="AG64" i="1"/>
  <c r="AG52" i="1"/>
  <c r="AG50" i="1"/>
  <c r="AG49" i="1"/>
  <c r="AG45" i="1"/>
  <c r="AG31" i="1"/>
  <c r="AG24" i="1"/>
  <c r="AG17" i="1"/>
  <c r="J22" i="7" s="1"/>
  <c r="AG6" i="1"/>
  <c r="AG28" i="1"/>
  <c r="AG83" i="1"/>
  <c r="AG72" i="1"/>
  <c r="AG57" i="1"/>
  <c r="AG46" i="1"/>
  <c r="AG43" i="1"/>
  <c r="AG23" i="1"/>
  <c r="J18" i="7" s="1"/>
  <c r="L18" i="7" s="1"/>
  <c r="AG15" i="1"/>
  <c r="AG11" i="1"/>
  <c r="AG5" i="1"/>
  <c r="AG75" i="1"/>
  <c r="AG68" i="1"/>
  <c r="AG66" i="1"/>
  <c r="AG63" i="1"/>
  <c r="AG55" i="1"/>
  <c r="AG51" i="1"/>
  <c r="AG41" i="1"/>
  <c r="AG40" i="1"/>
  <c r="AG35" i="1"/>
  <c r="AG32" i="1"/>
  <c r="AG29" i="1"/>
  <c r="AG27" i="1"/>
  <c r="AG22" i="1"/>
  <c r="AG20" i="1"/>
  <c r="AG12" i="1"/>
  <c r="J30" i="7" s="1"/>
  <c r="L30" i="7" s="1"/>
  <c r="AG4" i="1"/>
  <c r="AG78" i="1"/>
  <c r="AG77" i="1"/>
  <c r="AG74" i="1"/>
  <c r="AG73" i="1"/>
  <c r="AG69" i="1"/>
  <c r="AG67" i="1"/>
  <c r="AG37" i="1"/>
  <c r="AG53" i="1"/>
  <c r="AG44" i="1"/>
  <c r="J26" i="7" s="1"/>
  <c r="L26" i="7" s="1"/>
  <c r="AG39" i="1"/>
  <c r="AG30" i="1"/>
  <c r="AG3" i="1"/>
  <c r="AI3" i="1"/>
  <c r="AI30" i="1"/>
  <c r="AI39" i="1"/>
  <c r="AI44" i="1"/>
  <c r="AI53" i="1"/>
  <c r="AI37" i="1"/>
  <c r="AI67" i="1"/>
  <c r="AI69" i="1"/>
  <c r="AI73" i="1"/>
  <c r="AI74" i="1"/>
  <c r="AI77" i="1"/>
  <c r="AI78" i="1"/>
  <c r="AI4" i="1"/>
  <c r="AI12" i="1"/>
  <c r="AI20" i="1"/>
  <c r="J28" i="7" s="1"/>
  <c r="AI22" i="1"/>
  <c r="AI27" i="1"/>
  <c r="AI29" i="1"/>
  <c r="AI32" i="1"/>
  <c r="AI35" i="1"/>
  <c r="AI40" i="1"/>
  <c r="AI41" i="1"/>
  <c r="AI51" i="1"/>
  <c r="AI55" i="1"/>
  <c r="AI63" i="1"/>
  <c r="AI66" i="1"/>
  <c r="AI68" i="1"/>
  <c r="AI75" i="1"/>
  <c r="AI5" i="1"/>
  <c r="AI11" i="1"/>
  <c r="AI15" i="1"/>
  <c r="AI23" i="1"/>
  <c r="AI43" i="1"/>
  <c r="AI46" i="1"/>
  <c r="AI57" i="1"/>
  <c r="AI72" i="1"/>
  <c r="AI83" i="1"/>
  <c r="AI28" i="1"/>
  <c r="AI6" i="1"/>
  <c r="J4" i="7" s="1"/>
  <c r="L4" i="7" s="1"/>
  <c r="AI17" i="1"/>
  <c r="J20" i="7" s="1"/>
  <c r="L20" i="7" s="1"/>
  <c r="AI24" i="1"/>
  <c r="AI31" i="1"/>
  <c r="AI45" i="1"/>
  <c r="AI49" i="1"/>
  <c r="AI50" i="1"/>
  <c r="AI52" i="1"/>
  <c r="AI64" i="1"/>
  <c r="AI65" i="1"/>
  <c r="AI81" i="1"/>
  <c r="AI7" i="1"/>
  <c r="AI10" i="1"/>
  <c r="J32" i="7" s="1"/>
  <c r="L32" i="7" s="1"/>
  <c r="AI14" i="1"/>
  <c r="AI36" i="1"/>
  <c r="AI58" i="1"/>
  <c r="AI61" i="1"/>
  <c r="AI62" i="1"/>
  <c r="AI86" i="1"/>
  <c r="AI87" i="1"/>
  <c r="AI8" i="1"/>
  <c r="AI16" i="1"/>
  <c r="AI19" i="1"/>
  <c r="AI33" i="1"/>
  <c r="AI42" i="1"/>
  <c r="AI48" i="1"/>
  <c r="AI56" i="1"/>
  <c r="AI59" i="1"/>
  <c r="AI60" i="1"/>
  <c r="AI70" i="1"/>
  <c r="AI79" i="1"/>
  <c r="AI84" i="1"/>
  <c r="AI9" i="1"/>
  <c r="AI13" i="1"/>
  <c r="J8" i="7" s="1"/>
  <c r="L8" i="7" s="1"/>
  <c r="AI18" i="1"/>
  <c r="AI21" i="1"/>
  <c r="AI25" i="1"/>
  <c r="AI26" i="1"/>
  <c r="AI34" i="1"/>
  <c r="AI38" i="1"/>
  <c r="AI47" i="1"/>
  <c r="AI54" i="1"/>
  <c r="AI71" i="1"/>
  <c r="AI76" i="1"/>
  <c r="AI80" i="1"/>
  <c r="AI82" i="1"/>
  <c r="AI85" i="1"/>
  <c r="C14" i="7"/>
  <c r="E14" i="7"/>
  <c r="C24" i="7"/>
  <c r="E24" i="7" s="1"/>
  <c r="C30" i="7"/>
  <c r="E30" i="7"/>
  <c r="C7" i="7"/>
  <c r="E7" i="7" s="1"/>
  <c r="C4" i="7"/>
  <c r="E4" i="7"/>
  <c r="C29" i="7"/>
  <c r="E29" i="7" s="1"/>
  <c r="C22" i="7"/>
  <c r="E22" i="7"/>
  <c r="C40" i="7"/>
  <c r="E40" i="7" s="1"/>
  <c r="C20" i="7"/>
  <c r="E20" i="7"/>
  <c r="C3" i="7"/>
  <c r="E3" i="7" s="1"/>
  <c r="C34" i="7"/>
  <c r="E34" i="7"/>
  <c r="C37" i="7"/>
  <c r="E37" i="7" s="1"/>
  <c r="C11" i="7"/>
  <c r="E11" i="7"/>
  <c r="C38" i="7"/>
  <c r="E38" i="7" s="1"/>
  <c r="C13" i="7"/>
  <c r="E13" i="7"/>
  <c r="C17" i="7"/>
  <c r="E17" i="7" s="1"/>
  <c r="C19" i="7"/>
  <c r="E19" i="7"/>
  <c r="C25" i="7"/>
  <c r="E25" i="7" s="1"/>
  <c r="C28" i="7"/>
  <c r="E28" i="7"/>
  <c r="C12" i="7"/>
  <c r="E12" i="7" s="1"/>
  <c r="I87" i="1"/>
  <c r="I58" i="1"/>
  <c r="A87" i="1"/>
  <c r="A58" i="1"/>
  <c r="J58" i="1"/>
  <c r="O58" i="1"/>
  <c r="P58" i="1"/>
  <c r="Q58" i="1"/>
  <c r="R58" i="1"/>
  <c r="S58" i="1"/>
  <c r="T58" i="1"/>
  <c r="U58" i="1"/>
  <c r="V58" i="1"/>
  <c r="W58" i="1"/>
  <c r="Z58" i="1"/>
  <c r="AA58" i="1"/>
  <c r="AB58" i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K35" i="7"/>
  <c r="R42" i="7"/>
  <c r="A3" i="7"/>
  <c r="D46" i="7"/>
  <c r="A8" i="5"/>
  <c r="A11" i="5"/>
  <c r="A12" i="5"/>
  <c r="A26" i="5"/>
  <c r="A27" i="5"/>
  <c r="A23" i="5"/>
  <c r="A13" i="5"/>
  <c r="A9" i="5"/>
  <c r="A20" i="5"/>
  <c r="A17" i="5"/>
  <c r="A18" i="5"/>
  <c r="A2" i="5"/>
  <c r="A21" i="5"/>
  <c r="A5" i="5"/>
  <c r="A6" i="5"/>
  <c r="A24" i="5"/>
  <c r="A19" i="5"/>
  <c r="A10" i="5"/>
  <c r="A25" i="5"/>
  <c r="A28" i="5"/>
  <c r="A3" i="5"/>
  <c r="A14" i="5"/>
  <c r="A7" i="5"/>
  <c r="A22" i="5"/>
  <c r="A15" i="5"/>
  <c r="A4" i="5"/>
  <c r="A30" i="3"/>
  <c r="A77" i="1"/>
  <c r="A2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5" i="3"/>
  <c r="A26" i="3"/>
  <c r="A27" i="3"/>
  <c r="A28" i="3"/>
  <c r="A29" i="3"/>
  <c r="A31" i="3"/>
  <c r="A2" i="3"/>
  <c r="A34" i="1"/>
  <c r="I34" i="1"/>
  <c r="J34" i="1"/>
  <c r="O34" i="1"/>
  <c r="P34" i="1"/>
  <c r="Q34" i="1"/>
  <c r="R34" i="1"/>
  <c r="S34" i="1"/>
  <c r="T34" i="1"/>
  <c r="U34" i="1"/>
  <c r="V34" i="1"/>
  <c r="W34" i="1"/>
  <c r="Z34" i="1"/>
  <c r="AA34" i="1"/>
  <c r="AB34" i="1"/>
  <c r="I77" i="1"/>
  <c r="C30" i="3"/>
  <c r="J77" i="1"/>
  <c r="O77" i="1"/>
  <c r="P77" i="1"/>
  <c r="Q77" i="1"/>
  <c r="R77" i="1"/>
  <c r="S77" i="1"/>
  <c r="T77" i="1"/>
  <c r="U77" i="1"/>
  <c r="V77" i="1"/>
  <c r="W77" i="1"/>
  <c r="Z77" i="1"/>
  <c r="AA77" i="1"/>
  <c r="AB77" i="1"/>
  <c r="J29" i="4"/>
  <c r="R32" i="4"/>
  <c r="S32" i="4"/>
  <c r="T32" i="4"/>
  <c r="K28" i="4"/>
  <c r="L28" i="4"/>
  <c r="J28" i="4"/>
  <c r="E29" i="5"/>
  <c r="G21" i="4"/>
  <c r="H21" i="4"/>
  <c r="I21" i="4"/>
  <c r="D32" i="3"/>
  <c r="J12" i="1"/>
  <c r="J32" i="1"/>
  <c r="J53" i="1"/>
  <c r="AP18" i="1"/>
  <c r="BB18" i="1" s="1"/>
  <c r="AP63" i="1"/>
  <c r="AV88" i="1"/>
  <c r="C36" i="7"/>
  <c r="E36" i="7" s="1"/>
  <c r="AO21" i="1"/>
  <c r="AO59" i="1"/>
  <c r="BA59" i="1" s="1"/>
  <c r="AO28" i="1"/>
  <c r="BA28" i="1"/>
  <c r="AO11" i="1"/>
  <c r="AP40" i="1"/>
  <c r="C39" i="7"/>
  <c r="E39" i="7" s="1"/>
  <c r="AQ76" i="1"/>
  <c r="AQ38" i="1"/>
  <c r="BC38" i="1" s="1"/>
  <c r="AQ84" i="1"/>
  <c r="BC84" i="1"/>
  <c r="AQ59" i="1"/>
  <c r="BC59" i="1" s="1"/>
  <c r="AQ33" i="1"/>
  <c r="BC33" i="1"/>
  <c r="AQ58" i="1"/>
  <c r="AQ52" i="1"/>
  <c r="BC52" i="1"/>
  <c r="AQ31" i="1"/>
  <c r="AQ11" i="1"/>
  <c r="AQ66" i="1"/>
  <c r="AQ41" i="1"/>
  <c r="BC41" i="1" s="1"/>
  <c r="AQ29" i="1"/>
  <c r="AQ12" i="1"/>
  <c r="AQ37" i="1"/>
  <c r="BC37" i="1" s="1"/>
  <c r="AQ30" i="1"/>
  <c r="BC30" i="1"/>
  <c r="AP6" i="1"/>
  <c r="AP32" i="1"/>
  <c r="BB32" i="1" s="1"/>
  <c r="AQ54" i="1"/>
  <c r="AQ26" i="1"/>
  <c r="AQ16" i="1"/>
  <c r="AQ65" i="1"/>
  <c r="AQ17" i="1"/>
  <c r="AQ22" i="1"/>
  <c r="AQ78" i="1"/>
  <c r="AP79" i="1"/>
  <c r="AP24" i="1"/>
  <c r="BB24" i="1"/>
  <c r="AP73" i="1"/>
  <c r="AO36" i="1"/>
  <c r="BA36" i="1"/>
  <c r="AO76" i="1"/>
  <c r="BA76" i="1" s="1"/>
  <c r="AO38" i="1"/>
  <c r="AO84" i="1"/>
  <c r="BA84" i="1" s="1"/>
  <c r="AO58" i="1"/>
  <c r="BA58" i="1"/>
  <c r="AO7" i="1"/>
  <c r="AO46" i="1"/>
  <c r="BA46" i="1"/>
  <c r="AO41" i="1"/>
  <c r="BA41" i="1" s="1"/>
  <c r="AO29" i="1"/>
  <c r="AO12" i="1"/>
  <c r="BA12" i="1" s="1"/>
  <c r="AO74" i="1"/>
  <c r="AQ82" i="1"/>
  <c r="AQ70" i="1"/>
  <c r="BC70" i="1" s="1"/>
  <c r="AQ72" i="1"/>
  <c r="BC72" i="1" s="1"/>
  <c r="AQ44" i="1"/>
  <c r="AP5" i="1"/>
  <c r="BB5" i="1" s="1"/>
  <c r="AT88" i="1"/>
  <c r="C8" i="7"/>
  <c r="E8" i="7"/>
  <c r="C35" i="7"/>
  <c r="E35" i="7" s="1"/>
  <c r="AO15" i="1"/>
  <c r="BA15" i="1"/>
  <c r="AO77" i="1"/>
  <c r="AO85" i="1"/>
  <c r="BA85" i="1"/>
  <c r="AO79" i="1"/>
  <c r="BA79" i="1" s="1"/>
  <c r="AO19" i="1"/>
  <c r="AO50" i="1"/>
  <c r="BA50" i="1" s="1"/>
  <c r="AO24" i="1"/>
  <c r="BA24" i="1" s="1"/>
  <c r="AO5" i="1"/>
  <c r="BA5" i="1"/>
  <c r="AO63" i="1"/>
  <c r="AO53" i="1"/>
  <c r="BA53" i="1"/>
  <c r="AP80" i="1"/>
  <c r="AP47" i="1"/>
  <c r="AP25" i="1"/>
  <c r="BB25" i="1" s="1"/>
  <c r="AP9" i="1"/>
  <c r="BB9" i="1"/>
  <c r="AP60" i="1"/>
  <c r="AP8" i="1"/>
  <c r="BB8" i="1"/>
  <c r="AP61" i="1"/>
  <c r="BB61" i="1" s="1"/>
  <c r="AP10" i="1"/>
  <c r="AP64" i="1"/>
  <c r="AP45" i="1"/>
  <c r="BB45" i="1" s="1"/>
  <c r="AP15" i="1"/>
  <c r="BB15" i="1"/>
  <c r="AP51" i="1"/>
  <c r="AP77" i="1"/>
  <c r="BB77" i="1"/>
  <c r="AP67" i="1"/>
  <c r="BB67" i="1" s="1"/>
  <c r="AP13" i="1"/>
  <c r="C32" i="7"/>
  <c r="E32" i="7" s="1"/>
  <c r="C42" i="7"/>
  <c r="E42" i="7"/>
  <c r="C31" i="7"/>
  <c r="E31" i="7" s="1"/>
  <c r="AQ18" i="1"/>
  <c r="BC18" i="1" s="1"/>
  <c r="AQ79" i="1"/>
  <c r="BC79" i="1"/>
  <c r="AS88" i="1"/>
  <c r="AQ81" i="1"/>
  <c r="AP82" i="1"/>
  <c r="BB82" i="1"/>
  <c r="AP54" i="1"/>
  <c r="BB54" i="1" s="1"/>
  <c r="AP26" i="1"/>
  <c r="BB26" i="1"/>
  <c r="AP70" i="1"/>
  <c r="BB70" i="1" s="1"/>
  <c r="AP16" i="1"/>
  <c r="BB16" i="1"/>
  <c r="AW88" i="1"/>
  <c r="AP74" i="1"/>
  <c r="BB74" i="1" s="1"/>
  <c r="AP49" i="1"/>
  <c r="BB49" i="1"/>
  <c r="AO18" i="1"/>
  <c r="BA18" i="1" s="1"/>
  <c r="C26" i="7"/>
  <c r="E26" i="7"/>
  <c r="C16" i="7"/>
  <c r="E16" i="7" s="1"/>
  <c r="C9" i="7"/>
  <c r="E9" i="7"/>
  <c r="C10" i="7"/>
  <c r="J12" i="7"/>
  <c r="L12" i="7" s="1"/>
  <c r="J6" i="7"/>
  <c r="L6" i="7" s="1"/>
  <c r="J19" i="7"/>
  <c r="L19" i="7" s="1"/>
  <c r="J33" i="7"/>
  <c r="L33" i="7" s="1"/>
  <c r="AP71" i="1"/>
  <c r="BB71" i="1"/>
  <c r="AP86" i="1"/>
  <c r="BB86" i="1" s="1"/>
  <c r="AP83" i="1"/>
  <c r="BB83" i="1"/>
  <c r="AP4" i="1"/>
  <c r="AP62" i="1"/>
  <c r="BB62" i="1"/>
  <c r="AP14" i="1"/>
  <c r="BB14" i="1" s="1"/>
  <c r="AP17" i="1"/>
  <c r="BB17" i="1"/>
  <c r="AP72" i="1"/>
  <c r="AP75" i="1"/>
  <c r="BB75" i="1" s="1"/>
  <c r="AP55" i="1"/>
  <c r="BB55" i="1"/>
  <c r="AP35" i="1"/>
  <c r="BB35" i="1" s="1"/>
  <c r="AP22" i="1"/>
  <c r="AP78" i="1"/>
  <c r="BB78" i="1" s="1"/>
  <c r="AO71" i="1"/>
  <c r="BA71" i="1" s="1"/>
  <c r="AO34" i="1"/>
  <c r="BA34" i="1"/>
  <c r="AO86" i="1"/>
  <c r="BA86" i="1" s="1"/>
  <c r="AO83" i="1"/>
  <c r="BA83" i="1"/>
  <c r="AO4" i="1"/>
  <c r="BA4" i="1" s="1"/>
  <c r="C23" i="7"/>
  <c r="E23" i="7" s="1"/>
  <c r="C45" i="7"/>
  <c r="E45" i="7"/>
  <c r="C27" i="7"/>
  <c r="E27" i="7" s="1"/>
  <c r="C44" i="7"/>
  <c r="E44" i="7"/>
  <c r="L22" i="7"/>
  <c r="J10" i="7"/>
  <c r="L10" i="7"/>
  <c r="J25" i="7"/>
  <c r="L25" i="7"/>
  <c r="J29" i="7"/>
  <c r="L29" i="7" s="1"/>
  <c r="J17" i="7"/>
  <c r="L17" i="7"/>
  <c r="AQ80" i="1"/>
  <c r="BC80" i="1" s="1"/>
  <c r="AQ47" i="1"/>
  <c r="BC47" i="1"/>
  <c r="AQ25" i="1"/>
  <c r="BC25" i="1" s="1"/>
  <c r="AQ9" i="1"/>
  <c r="AQ60" i="1"/>
  <c r="BC60" i="1" s="1"/>
  <c r="AQ42" i="1"/>
  <c r="BC42" i="1"/>
  <c r="AQ8" i="1"/>
  <c r="BC8" i="1" s="1"/>
  <c r="AQ61" i="1"/>
  <c r="AQ10" i="1"/>
  <c r="BC10" i="1"/>
  <c r="AQ64" i="1"/>
  <c r="BC64" i="1" s="1"/>
  <c r="AQ45" i="1"/>
  <c r="BC45" i="1"/>
  <c r="AQ6" i="1"/>
  <c r="AQ57" i="1"/>
  <c r="BC57" i="1"/>
  <c r="AQ15" i="1"/>
  <c r="BC15" i="1" s="1"/>
  <c r="AQ68" i="1"/>
  <c r="BC68" i="1"/>
  <c r="AQ51" i="1"/>
  <c r="AQ32" i="1"/>
  <c r="BC32" i="1" s="1"/>
  <c r="AQ20" i="1"/>
  <c r="AQ77" i="1"/>
  <c r="BC77" i="1" s="1"/>
  <c r="AQ67" i="1"/>
  <c r="AQ39" i="1"/>
  <c r="BC39" i="1"/>
  <c r="AP23" i="1"/>
  <c r="BB23" i="1"/>
  <c r="AP69" i="1"/>
  <c r="BB69" i="1"/>
  <c r="AO56" i="1"/>
  <c r="AO81" i="1"/>
  <c r="AO43" i="1"/>
  <c r="AO27" i="1"/>
  <c r="BA27" i="1" s="1"/>
  <c r="AO3" i="1"/>
  <c r="BA3" i="1" s="1"/>
  <c r="BA38" i="1"/>
  <c r="AO80" i="1"/>
  <c r="BA80" i="1" s="1"/>
  <c r="AO60" i="1"/>
  <c r="BA60" i="1" s="1"/>
  <c r="AO51" i="1"/>
  <c r="BA51" i="1" s="1"/>
  <c r="Q11" i="7" s="1"/>
  <c r="S11" i="7" s="1"/>
  <c r="C33" i="7"/>
  <c r="E33" i="7"/>
  <c r="C21" i="7"/>
  <c r="E21" i="7"/>
  <c r="C15" i="7"/>
  <c r="E15" i="7"/>
  <c r="C43" i="7"/>
  <c r="E43" i="7"/>
  <c r="C5" i="7"/>
  <c r="E5" i="7"/>
  <c r="C6" i="7"/>
  <c r="E6" i="7"/>
  <c r="C18" i="7"/>
  <c r="E18" i="7"/>
  <c r="J16" i="7"/>
  <c r="L16" i="7"/>
  <c r="L28" i="7"/>
  <c r="J24" i="7"/>
  <c r="L24" i="7"/>
  <c r="J34" i="7"/>
  <c r="L34" i="7"/>
  <c r="J5" i="7"/>
  <c r="L5" i="7"/>
  <c r="AP34" i="1"/>
  <c r="BB34" i="1"/>
  <c r="AP56" i="1"/>
  <c r="BB56" i="1"/>
  <c r="AP36" i="1"/>
  <c r="BB36" i="1"/>
  <c r="AP50" i="1"/>
  <c r="AP27" i="1"/>
  <c r="BB27" i="1" s="1"/>
  <c r="AP53" i="1"/>
  <c r="BB53" i="1" s="1"/>
  <c r="Q40" i="7" s="1"/>
  <c r="S40" i="7" s="1"/>
  <c r="AR88" i="1"/>
  <c r="AX88" i="1"/>
  <c r="AO25" i="1"/>
  <c r="BA25" i="1" s="1"/>
  <c r="AO42" i="1"/>
  <c r="BA42" i="1" s="1"/>
  <c r="AO61" i="1"/>
  <c r="BA61" i="1" s="1"/>
  <c r="AO45" i="1"/>
  <c r="BA45" i="1" s="1"/>
  <c r="AO57" i="1"/>
  <c r="BA57" i="1"/>
  <c r="AO32" i="1"/>
  <c r="BA32" i="1"/>
  <c r="AO39" i="1"/>
  <c r="BA39" i="1"/>
  <c r="AO44" i="1"/>
  <c r="AO70" i="1"/>
  <c r="BA70" i="1" s="1"/>
  <c r="AO65" i="1"/>
  <c r="BA65" i="1"/>
  <c r="AO75" i="1"/>
  <c r="BA75" i="1"/>
  <c r="AO47" i="1"/>
  <c r="BA47" i="1" s="1"/>
  <c r="AO9" i="1"/>
  <c r="BA9" i="1" s="1"/>
  <c r="AO8" i="1"/>
  <c r="BA8" i="1" s="1"/>
  <c r="AO10" i="1"/>
  <c r="AO64" i="1"/>
  <c r="BA64" i="1" s="1"/>
  <c r="AO6" i="1"/>
  <c r="BA6" i="1" s="1"/>
  <c r="AO68" i="1"/>
  <c r="BA68" i="1" s="1"/>
  <c r="AO20" i="1"/>
  <c r="AO67" i="1"/>
  <c r="BA67" i="1" s="1"/>
  <c r="AO82" i="1"/>
  <c r="BA82" i="1" s="1"/>
  <c r="AO54" i="1"/>
  <c r="BA54" i="1" s="1"/>
  <c r="AO26" i="1"/>
  <c r="BA26" i="1" s="1"/>
  <c r="AO13" i="1"/>
  <c r="BA13" i="1" s="1"/>
  <c r="AO48" i="1"/>
  <c r="BA48" i="1" s="1"/>
  <c r="AO16" i="1"/>
  <c r="BA16" i="1" s="1"/>
  <c r="AO62" i="1"/>
  <c r="BA62" i="1" s="1"/>
  <c r="AO14" i="1"/>
  <c r="BA14" i="1" s="1"/>
  <c r="AO49" i="1"/>
  <c r="BA49" i="1" s="1"/>
  <c r="AO17" i="1"/>
  <c r="BA17" i="1" s="1"/>
  <c r="AO72" i="1"/>
  <c r="BA72" i="1" s="1"/>
  <c r="AO23" i="1"/>
  <c r="BA23" i="1" s="1"/>
  <c r="AO55" i="1"/>
  <c r="BA55" i="1" s="1"/>
  <c r="AO35" i="1"/>
  <c r="BA35" i="1" s="1"/>
  <c r="AO22" i="1"/>
  <c r="BA22" i="1" s="1"/>
  <c r="AO78" i="1"/>
  <c r="BA78" i="1" s="1"/>
  <c r="AO69" i="1"/>
  <c r="BA69" i="1" s="1"/>
  <c r="BA20" i="1"/>
  <c r="BA77" i="1"/>
  <c r="BA10" i="1"/>
  <c r="BA21" i="1"/>
  <c r="BA87" i="1"/>
  <c r="BA7" i="1"/>
  <c r="BA52" i="1"/>
  <c r="BA11" i="1"/>
  <c r="BA66" i="1"/>
  <c r="BA29" i="1"/>
  <c r="BA74" i="1"/>
  <c r="BA56" i="1"/>
  <c r="BA19" i="1"/>
  <c r="BA81" i="1"/>
  <c r="BA43" i="1"/>
  <c r="BA63" i="1"/>
  <c r="BA40" i="1"/>
  <c r="BA73" i="1"/>
  <c r="BB38" i="1"/>
  <c r="BC21" i="1"/>
  <c r="BB84" i="1"/>
  <c r="BB33" i="1"/>
  <c r="BC87" i="1"/>
  <c r="BC81" i="1"/>
  <c r="BB81" i="1"/>
  <c r="BC50" i="1"/>
  <c r="BB50" i="1"/>
  <c r="BC43" i="1"/>
  <c r="BC5" i="1"/>
  <c r="BC40" i="1"/>
  <c r="BB40" i="1"/>
  <c r="BC27" i="1"/>
  <c r="BB4" i="1"/>
  <c r="BC85" i="1"/>
  <c r="BC34" i="1"/>
  <c r="BC19" i="1"/>
  <c r="BC86" i="1"/>
  <c r="BB65" i="1"/>
  <c r="BC65" i="1"/>
  <c r="BC17" i="1"/>
  <c r="BB72" i="1"/>
  <c r="BC55" i="1"/>
  <c r="BC35" i="1"/>
  <c r="Q21" i="7" s="1"/>
  <c r="BB22" i="1"/>
  <c r="BC22" i="1"/>
  <c r="BC69" i="1"/>
  <c r="BC44" i="1"/>
  <c r="BC82" i="1"/>
  <c r="BC54" i="1"/>
  <c r="BC26" i="1"/>
  <c r="BB13" i="1"/>
  <c r="BC13" i="1"/>
  <c r="BC48" i="1"/>
  <c r="BC16" i="1"/>
  <c r="BC62" i="1"/>
  <c r="Q6" i="7" s="1"/>
  <c r="S6" i="7" s="1"/>
  <c r="BB10" i="1"/>
  <c r="BB64" i="1"/>
  <c r="BB6" i="1"/>
  <c r="BC6" i="1"/>
  <c r="BB51" i="1"/>
  <c r="BC51" i="1"/>
  <c r="BB20" i="1"/>
  <c r="BC20" i="1"/>
  <c r="BC67" i="1"/>
  <c r="BB76" i="1"/>
  <c r="BC76" i="1"/>
  <c r="BB58" i="1"/>
  <c r="BC58" i="1"/>
  <c r="BC24" i="1"/>
  <c r="BB63" i="1"/>
  <c r="BC73" i="1"/>
  <c r="Q3" i="7" s="1"/>
  <c r="BB73" i="1"/>
  <c r="BB3" i="1"/>
  <c r="BC71" i="1"/>
  <c r="BB79" i="1"/>
  <c r="BC75" i="1"/>
  <c r="BC78" i="1"/>
  <c r="BB80" i="1"/>
  <c r="BB47" i="1"/>
  <c r="BC9" i="1"/>
  <c r="BB60" i="1"/>
  <c r="BB42" i="1"/>
  <c r="BC61" i="1"/>
  <c r="BB7" i="1"/>
  <c r="BC7" i="1"/>
  <c r="BB52" i="1"/>
  <c r="BC31" i="1"/>
  <c r="Q12" i="7" s="1"/>
  <c r="S12" i="7" s="1"/>
  <c r="BB28" i="1"/>
  <c r="BC28" i="1"/>
  <c r="BB11" i="1"/>
  <c r="BC11" i="1"/>
  <c r="BC66" i="1"/>
  <c r="BB41" i="1"/>
  <c r="BB29" i="1"/>
  <c r="BC29" i="1"/>
  <c r="BB12" i="1"/>
  <c r="Q28" i="7" s="1"/>
  <c r="S28" i="7" s="1"/>
  <c r="BC12" i="1"/>
  <c r="BB37" i="1"/>
  <c r="BB30" i="1"/>
  <c r="BA44" i="1"/>
  <c r="AN88" i="1"/>
  <c r="AG88" i="1"/>
  <c r="AM88" i="1"/>
  <c r="AJ88" i="1"/>
  <c r="AL88" i="1"/>
  <c r="AH88" i="1"/>
  <c r="AI88" i="1"/>
  <c r="AE88" i="1"/>
  <c r="AC58" i="1"/>
  <c r="N58" i="1"/>
  <c r="M58" i="1"/>
  <c r="L58" i="1"/>
  <c r="E30" i="3"/>
  <c r="M77" i="1"/>
  <c r="L77" i="1"/>
  <c r="L34" i="1"/>
  <c r="AC77" i="1"/>
  <c r="N77" i="1"/>
  <c r="AC34" i="1"/>
  <c r="N34" i="1"/>
  <c r="M34" i="1"/>
  <c r="J64" i="1"/>
  <c r="J92" i="1"/>
  <c r="J94" i="1"/>
  <c r="J96" i="1"/>
  <c r="F32" i="5" a="1"/>
  <c r="F32" i="5"/>
  <c r="F34" i="5"/>
  <c r="E36" i="3"/>
  <c r="E38" i="3"/>
  <c r="E40" i="3"/>
  <c r="I27" i="4"/>
  <c r="K29" i="4"/>
  <c r="Q31" i="7"/>
  <c r="S31" i="7" s="1"/>
  <c r="Q14" i="7"/>
  <c r="S14" i="7" s="1"/>
  <c r="S21" i="7"/>
  <c r="Q16" i="7"/>
  <c r="S16" i="7" s="1"/>
  <c r="Q29" i="7"/>
  <c r="S29" i="7" s="1"/>
  <c r="Q13" i="7"/>
  <c r="S13" i="7" s="1"/>
  <c r="Q36" i="7"/>
  <c r="S36" i="7" s="1"/>
  <c r="Q35" i="7"/>
  <c r="S35" i="7" s="1"/>
  <c r="Q7" i="7"/>
  <c r="S7" i="7" s="1"/>
  <c r="Q30" i="7"/>
  <c r="S30" i="7" s="1"/>
  <c r="Q39" i="7"/>
  <c r="S39" i="7"/>
  <c r="Q8" i="7"/>
  <c r="S8" i="7" s="1"/>
  <c r="Q38" i="7"/>
  <c r="S38" i="7" s="1"/>
  <c r="Q33" i="7"/>
  <c r="S33" i="7"/>
  <c r="Q22" i="7"/>
  <c r="S22" i="7" s="1"/>
  <c r="Q18" i="7"/>
  <c r="S18" i="7" s="1"/>
  <c r="Q15" i="7"/>
  <c r="S15" i="7"/>
  <c r="Q41" i="7"/>
  <c r="S41" i="7" s="1"/>
  <c r="Q32" i="7"/>
  <c r="S32" i="7" s="1"/>
  <c r="Q20" i="7"/>
  <c r="S20" i="7" s="1"/>
  <c r="Q4" i="7"/>
  <c r="S4" i="7" s="1"/>
  <c r="Q9" i="7"/>
  <c r="S9" i="7" s="1"/>
  <c r="Q5" i="7"/>
  <c r="S5" i="7" s="1"/>
  <c r="Q34" i="7"/>
  <c r="S34" i="7"/>
  <c r="Q37" i="7"/>
  <c r="S37" i="7"/>
  <c r="BB88" i="1"/>
  <c r="AP88" i="1"/>
  <c r="L29" i="4"/>
  <c r="AB21" i="1"/>
  <c r="AA21" i="1"/>
  <c r="Z21" i="1"/>
  <c r="AC21" i="1" s="1"/>
  <c r="D14" i="5" s="1"/>
  <c r="F14" i="5" s="1"/>
  <c r="J21" i="1"/>
  <c r="I21" i="1"/>
  <c r="A21" i="1"/>
  <c r="O21" i="1"/>
  <c r="P21" i="1"/>
  <c r="Q21" i="1"/>
  <c r="R21" i="1"/>
  <c r="S21" i="1"/>
  <c r="T21" i="1"/>
  <c r="U21" i="1"/>
  <c r="V21" i="1"/>
  <c r="W21" i="1"/>
  <c r="I29" i="1"/>
  <c r="I69" i="1"/>
  <c r="A66" i="1"/>
  <c r="A36" i="1"/>
  <c r="A49" i="1"/>
  <c r="A19" i="1"/>
  <c r="A53" i="1"/>
  <c r="A12" i="1"/>
  <c r="A22" i="1"/>
  <c r="A83" i="1"/>
  <c r="A46" i="1"/>
  <c r="A71" i="1"/>
  <c r="A26" i="1"/>
  <c r="A43" i="1"/>
  <c r="A23" i="1"/>
  <c r="A72" i="1"/>
  <c r="A67" i="1"/>
  <c r="A39" i="1"/>
  <c r="A40" i="1"/>
  <c r="A86" i="1"/>
  <c r="A80" i="1"/>
  <c r="A27" i="1"/>
  <c r="A17" i="1"/>
  <c r="A28" i="1"/>
  <c r="A13" i="1"/>
  <c r="A37" i="1"/>
  <c r="A55" i="1"/>
  <c r="A52" i="1"/>
  <c r="A45" i="1"/>
  <c r="A63" i="1"/>
  <c r="A65" i="1"/>
  <c r="A82" i="1"/>
  <c r="A16" i="1"/>
  <c r="A69" i="1"/>
  <c r="A61" i="1"/>
  <c r="A62" i="1"/>
  <c r="A3" i="1"/>
  <c r="A7" i="1"/>
  <c r="A6" i="1"/>
  <c r="A5" i="1"/>
  <c r="A8" i="1"/>
  <c r="A9" i="1"/>
  <c r="A4" i="1"/>
  <c r="A56" i="1"/>
  <c r="A76" i="1"/>
  <c r="A18" i="1"/>
  <c r="A79" i="1"/>
  <c r="A31" i="1"/>
  <c r="A50" i="1"/>
  <c r="A51" i="1"/>
  <c r="A30" i="1"/>
  <c r="A38" i="1"/>
  <c r="A85" i="1"/>
  <c r="A48" i="1"/>
  <c r="A84" i="1"/>
  <c r="A59" i="1"/>
  <c r="A57" i="1"/>
  <c r="A15" i="1"/>
  <c r="A64" i="1"/>
  <c r="A41" i="1"/>
  <c r="A35" i="1"/>
  <c r="A29" i="1"/>
  <c r="A68" i="1"/>
  <c r="A73" i="1"/>
  <c r="A44" i="1"/>
  <c r="A10" i="1"/>
  <c r="A20" i="1"/>
  <c r="A33" i="1"/>
  <c r="A74" i="1"/>
  <c r="A75" i="1"/>
  <c r="A54" i="1"/>
  <c r="A25" i="1"/>
  <c r="A11" i="1"/>
  <c r="A60" i="1"/>
  <c r="A24" i="1"/>
  <c r="A42" i="1"/>
  <c r="A81" i="1"/>
  <c r="A14" i="1"/>
  <c r="A78" i="1"/>
  <c r="A70" i="1"/>
  <c r="A47" i="1"/>
  <c r="A32" i="1"/>
  <c r="L21" i="1"/>
  <c r="M21" i="1"/>
  <c r="U5" i="1"/>
  <c r="V5" i="1"/>
  <c r="W5" i="1"/>
  <c r="AB5" i="1"/>
  <c r="R5" i="1"/>
  <c r="S5" i="1"/>
  <c r="T5" i="1"/>
  <c r="AA5" i="1"/>
  <c r="O5" i="1"/>
  <c r="P5" i="1"/>
  <c r="Q5" i="1"/>
  <c r="Z5" i="1"/>
  <c r="U6" i="1"/>
  <c r="V6" i="1"/>
  <c r="W6" i="1"/>
  <c r="AB6" i="1"/>
  <c r="R6" i="1"/>
  <c r="S6" i="1"/>
  <c r="T6" i="1"/>
  <c r="AA6" i="1"/>
  <c r="O6" i="1"/>
  <c r="P6" i="1"/>
  <c r="M6" i="1" s="1"/>
  <c r="Q6" i="1"/>
  <c r="Z6" i="1"/>
  <c r="U7" i="1"/>
  <c r="V7" i="1"/>
  <c r="W7" i="1"/>
  <c r="AB7" i="1"/>
  <c r="R7" i="1"/>
  <c r="S7" i="1"/>
  <c r="T7" i="1"/>
  <c r="AA7" i="1"/>
  <c r="O7" i="1"/>
  <c r="P7" i="1"/>
  <c r="Q7" i="1"/>
  <c r="Z7" i="1"/>
  <c r="AC8" i="1"/>
  <c r="I7" i="1"/>
  <c r="J7" i="1"/>
  <c r="I6" i="1"/>
  <c r="J6" i="1"/>
  <c r="I5" i="1"/>
  <c r="J5" i="1"/>
  <c r="I8" i="1"/>
  <c r="J8" i="1"/>
  <c r="N8" i="1"/>
  <c r="I9" i="1"/>
  <c r="J9" i="1"/>
  <c r="N9" i="1"/>
  <c r="I4" i="1"/>
  <c r="J4" i="1"/>
  <c r="N4" i="1"/>
  <c r="J69" i="1"/>
  <c r="O69" i="1"/>
  <c r="P69" i="1"/>
  <c r="Q69" i="1"/>
  <c r="R69" i="1"/>
  <c r="S69" i="1"/>
  <c r="T69" i="1"/>
  <c r="U69" i="1"/>
  <c r="V69" i="1"/>
  <c r="W69" i="1"/>
  <c r="Z69" i="1"/>
  <c r="AA69" i="1"/>
  <c r="AB69" i="1"/>
  <c r="I61" i="1"/>
  <c r="J61" i="1"/>
  <c r="O61" i="1"/>
  <c r="P61" i="1"/>
  <c r="Q61" i="1"/>
  <c r="R61" i="1"/>
  <c r="S61" i="1"/>
  <c r="T61" i="1"/>
  <c r="U61" i="1"/>
  <c r="V61" i="1"/>
  <c r="W61" i="1"/>
  <c r="Z61" i="1"/>
  <c r="AA61" i="1"/>
  <c r="AB61" i="1"/>
  <c r="I62" i="1"/>
  <c r="J62" i="1"/>
  <c r="O62" i="1"/>
  <c r="P62" i="1"/>
  <c r="Q62" i="1"/>
  <c r="R62" i="1"/>
  <c r="S62" i="1"/>
  <c r="T62" i="1"/>
  <c r="U62" i="1"/>
  <c r="V62" i="1"/>
  <c r="W62" i="1"/>
  <c r="Z62" i="1"/>
  <c r="AA62" i="1"/>
  <c r="AB62" i="1"/>
  <c r="I3" i="1"/>
  <c r="J3" i="1"/>
  <c r="O3" i="1"/>
  <c r="P3" i="1"/>
  <c r="Q3" i="1"/>
  <c r="R3" i="1"/>
  <c r="S3" i="1"/>
  <c r="T3" i="1"/>
  <c r="U3" i="1"/>
  <c r="V3" i="1"/>
  <c r="W3" i="1"/>
  <c r="Z3" i="1"/>
  <c r="AA3" i="1"/>
  <c r="AB3" i="1"/>
  <c r="I56" i="1"/>
  <c r="J56" i="1"/>
  <c r="O56" i="1"/>
  <c r="P56" i="1"/>
  <c r="Q56" i="1"/>
  <c r="R56" i="1"/>
  <c r="S56" i="1"/>
  <c r="T56" i="1"/>
  <c r="U56" i="1"/>
  <c r="V56" i="1"/>
  <c r="W56" i="1"/>
  <c r="Z56" i="1"/>
  <c r="AA56" i="1"/>
  <c r="AB56" i="1"/>
  <c r="I76" i="1"/>
  <c r="J76" i="1"/>
  <c r="O76" i="1"/>
  <c r="P76" i="1"/>
  <c r="Q76" i="1"/>
  <c r="R76" i="1"/>
  <c r="S76" i="1"/>
  <c r="T76" i="1"/>
  <c r="U76" i="1"/>
  <c r="V76" i="1"/>
  <c r="W76" i="1"/>
  <c r="Z76" i="1"/>
  <c r="AA76" i="1"/>
  <c r="AB76" i="1"/>
  <c r="I18" i="1"/>
  <c r="J18" i="1"/>
  <c r="O18" i="1"/>
  <c r="P18" i="1"/>
  <c r="Q18" i="1"/>
  <c r="R18" i="1"/>
  <c r="S18" i="1"/>
  <c r="T18" i="1"/>
  <c r="U18" i="1"/>
  <c r="V18" i="1"/>
  <c r="W18" i="1"/>
  <c r="Z18" i="1"/>
  <c r="AA18" i="1"/>
  <c r="AB18" i="1"/>
  <c r="I79" i="1"/>
  <c r="J79" i="1"/>
  <c r="O79" i="1"/>
  <c r="P79" i="1"/>
  <c r="Q79" i="1"/>
  <c r="R79" i="1"/>
  <c r="S79" i="1"/>
  <c r="T79" i="1"/>
  <c r="U79" i="1"/>
  <c r="V79" i="1"/>
  <c r="W79" i="1"/>
  <c r="Z79" i="1"/>
  <c r="AA79" i="1"/>
  <c r="AB79" i="1"/>
  <c r="I31" i="1"/>
  <c r="J31" i="1"/>
  <c r="O31" i="1"/>
  <c r="P31" i="1"/>
  <c r="Q31" i="1"/>
  <c r="R31" i="1"/>
  <c r="S31" i="1"/>
  <c r="T31" i="1"/>
  <c r="U31" i="1"/>
  <c r="V31" i="1"/>
  <c r="W31" i="1"/>
  <c r="Z31" i="1"/>
  <c r="AA31" i="1"/>
  <c r="AB31" i="1"/>
  <c r="I50" i="1"/>
  <c r="J50" i="1"/>
  <c r="O50" i="1"/>
  <c r="P50" i="1"/>
  <c r="Q50" i="1"/>
  <c r="R50" i="1"/>
  <c r="S50" i="1"/>
  <c r="T50" i="1"/>
  <c r="U50" i="1"/>
  <c r="V50" i="1"/>
  <c r="W50" i="1"/>
  <c r="Z50" i="1"/>
  <c r="AA50" i="1"/>
  <c r="AB50" i="1"/>
  <c r="I51" i="1"/>
  <c r="J51" i="1"/>
  <c r="O51" i="1"/>
  <c r="P51" i="1"/>
  <c r="Q51" i="1"/>
  <c r="R51" i="1"/>
  <c r="S51" i="1"/>
  <c r="T51" i="1"/>
  <c r="U51" i="1"/>
  <c r="V51" i="1"/>
  <c r="W51" i="1"/>
  <c r="Z51" i="1"/>
  <c r="AA51" i="1"/>
  <c r="AB51" i="1"/>
  <c r="I30" i="1"/>
  <c r="J30" i="1"/>
  <c r="O30" i="1"/>
  <c r="P30" i="1"/>
  <c r="Q30" i="1"/>
  <c r="R30" i="1"/>
  <c r="S30" i="1"/>
  <c r="T30" i="1"/>
  <c r="U30" i="1"/>
  <c r="V30" i="1"/>
  <c r="W30" i="1"/>
  <c r="Z30" i="1"/>
  <c r="AA30" i="1"/>
  <c r="AB30" i="1"/>
  <c r="I38" i="1"/>
  <c r="J38" i="1"/>
  <c r="O38" i="1"/>
  <c r="P38" i="1"/>
  <c r="Q38" i="1"/>
  <c r="R38" i="1"/>
  <c r="S38" i="1"/>
  <c r="T38" i="1"/>
  <c r="U38" i="1"/>
  <c r="V38" i="1"/>
  <c r="W38" i="1"/>
  <c r="Z38" i="1"/>
  <c r="AA38" i="1"/>
  <c r="AB38" i="1"/>
  <c r="I85" i="1"/>
  <c r="J85" i="1"/>
  <c r="O85" i="1"/>
  <c r="P85" i="1"/>
  <c r="Q85" i="1"/>
  <c r="R85" i="1"/>
  <c r="S85" i="1"/>
  <c r="T85" i="1"/>
  <c r="U85" i="1"/>
  <c r="V85" i="1"/>
  <c r="W85" i="1"/>
  <c r="Z85" i="1"/>
  <c r="AA85" i="1"/>
  <c r="AB85" i="1"/>
  <c r="I48" i="1"/>
  <c r="J48" i="1"/>
  <c r="O48" i="1"/>
  <c r="P48" i="1"/>
  <c r="Q48" i="1"/>
  <c r="R48" i="1"/>
  <c r="S48" i="1"/>
  <c r="T48" i="1"/>
  <c r="U48" i="1"/>
  <c r="V48" i="1"/>
  <c r="W48" i="1"/>
  <c r="Z48" i="1"/>
  <c r="AA48" i="1"/>
  <c r="AB48" i="1"/>
  <c r="I84" i="1"/>
  <c r="J84" i="1"/>
  <c r="O84" i="1"/>
  <c r="P84" i="1"/>
  <c r="Q84" i="1"/>
  <c r="R84" i="1"/>
  <c r="S84" i="1"/>
  <c r="T84" i="1"/>
  <c r="U84" i="1"/>
  <c r="V84" i="1"/>
  <c r="W84" i="1"/>
  <c r="Z84" i="1"/>
  <c r="AA84" i="1"/>
  <c r="AB84" i="1"/>
  <c r="I59" i="1"/>
  <c r="C22" i="3" s="1"/>
  <c r="J59" i="1"/>
  <c r="O59" i="1"/>
  <c r="P59" i="1"/>
  <c r="Q59" i="1"/>
  <c r="R59" i="1"/>
  <c r="S59" i="1"/>
  <c r="T59" i="1"/>
  <c r="U59" i="1"/>
  <c r="V59" i="1"/>
  <c r="W59" i="1"/>
  <c r="Z59" i="1"/>
  <c r="AA59" i="1"/>
  <c r="AB59" i="1"/>
  <c r="I57" i="1"/>
  <c r="J57" i="1"/>
  <c r="O57" i="1"/>
  <c r="P57" i="1"/>
  <c r="Q57" i="1"/>
  <c r="R57" i="1"/>
  <c r="S57" i="1"/>
  <c r="T57" i="1"/>
  <c r="U57" i="1"/>
  <c r="V57" i="1"/>
  <c r="W57" i="1"/>
  <c r="Z57" i="1"/>
  <c r="AA57" i="1"/>
  <c r="AB57" i="1"/>
  <c r="I15" i="1"/>
  <c r="J15" i="1"/>
  <c r="O15" i="1"/>
  <c r="P15" i="1"/>
  <c r="Q15" i="1"/>
  <c r="R15" i="1"/>
  <c r="S15" i="1"/>
  <c r="T15" i="1"/>
  <c r="U15" i="1"/>
  <c r="V15" i="1"/>
  <c r="W15" i="1"/>
  <c r="Z15" i="1"/>
  <c r="AA15" i="1"/>
  <c r="AB15" i="1"/>
  <c r="I64" i="1"/>
  <c r="O64" i="1"/>
  <c r="P64" i="1"/>
  <c r="Q64" i="1"/>
  <c r="R64" i="1"/>
  <c r="S64" i="1"/>
  <c r="T64" i="1"/>
  <c r="U64" i="1"/>
  <c r="V64" i="1"/>
  <c r="W64" i="1"/>
  <c r="Z64" i="1"/>
  <c r="AA64" i="1"/>
  <c r="AB64" i="1"/>
  <c r="I41" i="1"/>
  <c r="J41" i="1"/>
  <c r="O41" i="1"/>
  <c r="P41" i="1"/>
  <c r="Q41" i="1"/>
  <c r="R41" i="1"/>
  <c r="S41" i="1"/>
  <c r="T41" i="1"/>
  <c r="U41" i="1"/>
  <c r="V41" i="1"/>
  <c r="W41" i="1"/>
  <c r="Z41" i="1"/>
  <c r="AA41" i="1"/>
  <c r="AB41" i="1"/>
  <c r="I35" i="1"/>
  <c r="J35" i="1"/>
  <c r="O35" i="1"/>
  <c r="P35" i="1"/>
  <c r="Q35" i="1"/>
  <c r="R35" i="1"/>
  <c r="S35" i="1"/>
  <c r="T35" i="1"/>
  <c r="U35" i="1"/>
  <c r="V35" i="1"/>
  <c r="W35" i="1"/>
  <c r="Z35" i="1"/>
  <c r="AA35" i="1"/>
  <c r="AB35" i="1"/>
  <c r="J29" i="1"/>
  <c r="O29" i="1"/>
  <c r="P29" i="1"/>
  <c r="Q29" i="1"/>
  <c r="R29" i="1"/>
  <c r="S29" i="1"/>
  <c r="T29" i="1"/>
  <c r="U29" i="1"/>
  <c r="V29" i="1"/>
  <c r="W29" i="1"/>
  <c r="Z29" i="1"/>
  <c r="AA29" i="1"/>
  <c r="AB29" i="1"/>
  <c r="I68" i="1"/>
  <c r="J68" i="1"/>
  <c r="O68" i="1"/>
  <c r="P68" i="1"/>
  <c r="Q68" i="1"/>
  <c r="R68" i="1"/>
  <c r="S68" i="1"/>
  <c r="T68" i="1"/>
  <c r="U68" i="1"/>
  <c r="V68" i="1"/>
  <c r="W68" i="1"/>
  <c r="Z68" i="1"/>
  <c r="AA68" i="1"/>
  <c r="AB68" i="1"/>
  <c r="I73" i="1"/>
  <c r="J73" i="1"/>
  <c r="O73" i="1"/>
  <c r="P73" i="1"/>
  <c r="Q73" i="1"/>
  <c r="R73" i="1"/>
  <c r="S73" i="1"/>
  <c r="T73" i="1"/>
  <c r="U73" i="1"/>
  <c r="V73" i="1"/>
  <c r="W73" i="1"/>
  <c r="Z73" i="1"/>
  <c r="AA73" i="1"/>
  <c r="AB73" i="1"/>
  <c r="I44" i="1"/>
  <c r="J44" i="1"/>
  <c r="O44" i="1"/>
  <c r="P44" i="1"/>
  <c r="Q44" i="1"/>
  <c r="R44" i="1"/>
  <c r="S44" i="1"/>
  <c r="T44" i="1"/>
  <c r="U44" i="1"/>
  <c r="V44" i="1"/>
  <c r="W44" i="1"/>
  <c r="Z44" i="1"/>
  <c r="AA44" i="1"/>
  <c r="AB44" i="1"/>
  <c r="J87" i="1"/>
  <c r="O87" i="1"/>
  <c r="P87" i="1"/>
  <c r="Q87" i="1"/>
  <c r="R87" i="1"/>
  <c r="S87" i="1"/>
  <c r="T87" i="1"/>
  <c r="U87" i="1"/>
  <c r="V87" i="1"/>
  <c r="W87" i="1"/>
  <c r="Z87" i="1"/>
  <c r="AA87" i="1"/>
  <c r="AB87" i="1"/>
  <c r="I10" i="1"/>
  <c r="C15" i="3" s="1"/>
  <c r="J10" i="1"/>
  <c r="O10" i="1"/>
  <c r="P10" i="1"/>
  <c r="Q10" i="1"/>
  <c r="R10" i="1"/>
  <c r="S10" i="1"/>
  <c r="T10" i="1"/>
  <c r="U10" i="1"/>
  <c r="V10" i="1"/>
  <c r="W10" i="1"/>
  <c r="Z10" i="1"/>
  <c r="AA10" i="1"/>
  <c r="AB10" i="1"/>
  <c r="I20" i="1"/>
  <c r="J20" i="1"/>
  <c r="O20" i="1"/>
  <c r="P20" i="1"/>
  <c r="Q20" i="1"/>
  <c r="R20" i="1"/>
  <c r="S20" i="1"/>
  <c r="T20" i="1"/>
  <c r="U20" i="1"/>
  <c r="V20" i="1"/>
  <c r="W20" i="1"/>
  <c r="Z20" i="1"/>
  <c r="AA20" i="1"/>
  <c r="AB20" i="1"/>
  <c r="I33" i="1"/>
  <c r="C18" i="3" s="1"/>
  <c r="J33" i="1"/>
  <c r="O33" i="1"/>
  <c r="P33" i="1"/>
  <c r="Q33" i="1"/>
  <c r="R33" i="1"/>
  <c r="S33" i="1"/>
  <c r="T33" i="1"/>
  <c r="U33" i="1"/>
  <c r="V33" i="1"/>
  <c r="W33" i="1"/>
  <c r="Z33" i="1"/>
  <c r="AA33" i="1"/>
  <c r="AB33" i="1"/>
  <c r="I74" i="1"/>
  <c r="J74" i="1"/>
  <c r="O74" i="1"/>
  <c r="P74" i="1"/>
  <c r="Q74" i="1"/>
  <c r="R74" i="1"/>
  <c r="S74" i="1"/>
  <c r="T74" i="1"/>
  <c r="U74" i="1"/>
  <c r="V74" i="1"/>
  <c r="W74" i="1"/>
  <c r="Z74" i="1"/>
  <c r="AA74" i="1"/>
  <c r="AB74" i="1"/>
  <c r="I75" i="1"/>
  <c r="J75" i="1"/>
  <c r="O75" i="1"/>
  <c r="P75" i="1"/>
  <c r="Q75" i="1"/>
  <c r="R75" i="1"/>
  <c r="S75" i="1"/>
  <c r="T75" i="1"/>
  <c r="U75" i="1"/>
  <c r="V75" i="1"/>
  <c r="W75" i="1"/>
  <c r="Z75" i="1"/>
  <c r="AA75" i="1"/>
  <c r="AB75" i="1"/>
  <c r="I54" i="1"/>
  <c r="J54" i="1"/>
  <c r="O54" i="1"/>
  <c r="P54" i="1"/>
  <c r="Q54" i="1"/>
  <c r="R54" i="1"/>
  <c r="S54" i="1"/>
  <c r="T54" i="1"/>
  <c r="U54" i="1"/>
  <c r="V54" i="1"/>
  <c r="W54" i="1"/>
  <c r="Z54" i="1"/>
  <c r="AA54" i="1"/>
  <c r="AB54" i="1"/>
  <c r="I25" i="1"/>
  <c r="J25" i="1"/>
  <c r="O25" i="1"/>
  <c r="P25" i="1"/>
  <c r="Q25" i="1"/>
  <c r="R25" i="1"/>
  <c r="S25" i="1"/>
  <c r="T25" i="1"/>
  <c r="U25" i="1"/>
  <c r="V25" i="1"/>
  <c r="W25" i="1"/>
  <c r="Z25" i="1"/>
  <c r="AA25" i="1"/>
  <c r="AB25" i="1"/>
  <c r="I11" i="1"/>
  <c r="J11" i="1"/>
  <c r="O11" i="1"/>
  <c r="P11" i="1"/>
  <c r="Q11" i="1"/>
  <c r="R11" i="1"/>
  <c r="S11" i="1"/>
  <c r="T11" i="1"/>
  <c r="U11" i="1"/>
  <c r="V11" i="1"/>
  <c r="W11" i="1"/>
  <c r="Z11" i="1"/>
  <c r="AA11" i="1"/>
  <c r="AB11" i="1"/>
  <c r="I60" i="1"/>
  <c r="J60" i="1"/>
  <c r="O60" i="1"/>
  <c r="P60" i="1"/>
  <c r="Q60" i="1"/>
  <c r="R60" i="1"/>
  <c r="S60" i="1"/>
  <c r="T60" i="1"/>
  <c r="U60" i="1"/>
  <c r="V60" i="1"/>
  <c r="W60" i="1"/>
  <c r="Z60" i="1"/>
  <c r="AA60" i="1"/>
  <c r="AB60" i="1"/>
  <c r="I24" i="1"/>
  <c r="J24" i="1"/>
  <c r="O24" i="1"/>
  <c r="P24" i="1"/>
  <c r="Q24" i="1"/>
  <c r="R24" i="1"/>
  <c r="S24" i="1"/>
  <c r="T24" i="1"/>
  <c r="U24" i="1"/>
  <c r="V24" i="1"/>
  <c r="W24" i="1"/>
  <c r="Z24" i="1"/>
  <c r="AA24" i="1"/>
  <c r="AB24" i="1"/>
  <c r="I42" i="1"/>
  <c r="C17" i="3" s="1"/>
  <c r="J42" i="1"/>
  <c r="O42" i="1"/>
  <c r="P42" i="1"/>
  <c r="Q42" i="1"/>
  <c r="R42" i="1"/>
  <c r="S42" i="1"/>
  <c r="T42" i="1"/>
  <c r="U42" i="1"/>
  <c r="V42" i="1"/>
  <c r="W42" i="1"/>
  <c r="Z42" i="1"/>
  <c r="AA42" i="1"/>
  <c r="AB42" i="1"/>
  <c r="I81" i="1"/>
  <c r="J81" i="1"/>
  <c r="O81" i="1"/>
  <c r="P81" i="1"/>
  <c r="Q81" i="1"/>
  <c r="R81" i="1"/>
  <c r="S81" i="1"/>
  <c r="T81" i="1"/>
  <c r="U81" i="1"/>
  <c r="V81" i="1"/>
  <c r="W81" i="1"/>
  <c r="Z81" i="1"/>
  <c r="AA81" i="1"/>
  <c r="AB81" i="1"/>
  <c r="I14" i="1"/>
  <c r="J14" i="1"/>
  <c r="O14" i="1"/>
  <c r="P14" i="1"/>
  <c r="Q14" i="1"/>
  <c r="R14" i="1"/>
  <c r="S14" i="1"/>
  <c r="T14" i="1"/>
  <c r="U14" i="1"/>
  <c r="V14" i="1"/>
  <c r="W14" i="1"/>
  <c r="Z14" i="1"/>
  <c r="AA14" i="1"/>
  <c r="AB14" i="1"/>
  <c r="I78" i="1"/>
  <c r="J78" i="1"/>
  <c r="O78" i="1"/>
  <c r="P78" i="1"/>
  <c r="Q78" i="1"/>
  <c r="R78" i="1"/>
  <c r="S78" i="1"/>
  <c r="T78" i="1"/>
  <c r="U78" i="1"/>
  <c r="V78" i="1"/>
  <c r="W78" i="1"/>
  <c r="Z78" i="1"/>
  <c r="AA78" i="1"/>
  <c r="AB78" i="1"/>
  <c r="I70" i="1"/>
  <c r="J70" i="1"/>
  <c r="O70" i="1"/>
  <c r="P70" i="1"/>
  <c r="Q70" i="1"/>
  <c r="R70" i="1"/>
  <c r="S70" i="1"/>
  <c r="T70" i="1"/>
  <c r="U70" i="1"/>
  <c r="V70" i="1"/>
  <c r="W70" i="1"/>
  <c r="Z70" i="1"/>
  <c r="AA70" i="1"/>
  <c r="AB70" i="1"/>
  <c r="I47" i="1"/>
  <c r="J47" i="1"/>
  <c r="O47" i="1"/>
  <c r="P47" i="1"/>
  <c r="Q47" i="1"/>
  <c r="R47" i="1"/>
  <c r="S47" i="1"/>
  <c r="T47" i="1"/>
  <c r="U47" i="1"/>
  <c r="V47" i="1"/>
  <c r="W47" i="1"/>
  <c r="Z47" i="1"/>
  <c r="AA47" i="1"/>
  <c r="AB47" i="1"/>
  <c r="I16" i="1"/>
  <c r="C23" i="3" s="1"/>
  <c r="J16" i="1"/>
  <c r="U16" i="1"/>
  <c r="V16" i="1"/>
  <c r="W16" i="1"/>
  <c r="AB16" i="1"/>
  <c r="R16" i="1"/>
  <c r="S16" i="1"/>
  <c r="T16" i="1"/>
  <c r="AA16" i="1"/>
  <c r="O16" i="1"/>
  <c r="P16" i="1"/>
  <c r="Q16" i="1"/>
  <c r="Z16" i="1"/>
  <c r="AC16" i="1"/>
  <c r="Z19" i="1"/>
  <c r="AA19" i="1"/>
  <c r="AB19" i="1"/>
  <c r="Z53" i="1"/>
  <c r="AA53" i="1"/>
  <c r="AB53" i="1"/>
  <c r="Z32" i="1"/>
  <c r="AA32" i="1"/>
  <c r="AB32" i="1"/>
  <c r="Z12" i="1"/>
  <c r="AA12" i="1"/>
  <c r="AB12" i="1"/>
  <c r="Z66" i="1"/>
  <c r="AA66" i="1"/>
  <c r="AB66" i="1"/>
  <c r="Z22" i="1"/>
  <c r="AA22" i="1"/>
  <c r="AB22" i="1"/>
  <c r="Z40" i="1"/>
  <c r="AA40" i="1"/>
  <c r="AB40" i="1"/>
  <c r="Z27" i="1"/>
  <c r="AA27" i="1"/>
  <c r="AB27" i="1"/>
  <c r="Z63" i="1"/>
  <c r="AA63" i="1"/>
  <c r="AB63" i="1"/>
  <c r="Z83" i="1"/>
  <c r="AA83" i="1"/>
  <c r="AB83" i="1"/>
  <c r="Z43" i="1"/>
  <c r="AA43" i="1"/>
  <c r="AB43" i="1"/>
  <c r="Z17" i="1"/>
  <c r="AA17" i="1"/>
  <c r="AB17" i="1"/>
  <c r="Z52" i="1"/>
  <c r="AA52" i="1"/>
  <c r="AB52" i="1"/>
  <c r="Z45" i="1"/>
  <c r="AA45" i="1"/>
  <c r="AB45" i="1"/>
  <c r="Z65" i="1"/>
  <c r="AA65" i="1"/>
  <c r="AB65" i="1"/>
  <c r="Z28" i="1"/>
  <c r="AA28" i="1"/>
  <c r="AB28" i="1"/>
  <c r="Z86" i="1"/>
  <c r="AA86" i="1"/>
  <c r="AB86" i="1"/>
  <c r="Z46" i="1"/>
  <c r="AA46" i="1"/>
  <c r="AB46" i="1"/>
  <c r="Z23" i="1"/>
  <c r="AA23" i="1"/>
  <c r="AB23" i="1"/>
  <c r="Z72" i="1"/>
  <c r="AA72" i="1"/>
  <c r="AB72" i="1"/>
  <c r="Z67" i="1"/>
  <c r="AA67" i="1"/>
  <c r="AB67" i="1"/>
  <c r="Z36" i="1"/>
  <c r="AA36" i="1"/>
  <c r="AB36" i="1"/>
  <c r="Z82" i="1"/>
  <c r="AA82" i="1"/>
  <c r="AB82" i="1"/>
  <c r="Z71" i="1"/>
  <c r="AA71" i="1"/>
  <c r="AB71" i="1"/>
  <c r="Z80" i="1"/>
  <c r="AA80" i="1"/>
  <c r="AB80" i="1"/>
  <c r="Z13" i="1"/>
  <c r="AA13" i="1"/>
  <c r="AB13" i="1"/>
  <c r="Z26" i="1"/>
  <c r="AA26" i="1"/>
  <c r="AB26" i="1"/>
  <c r="Z37" i="1"/>
  <c r="AA37" i="1"/>
  <c r="AB37" i="1"/>
  <c r="Z55" i="1"/>
  <c r="AA55" i="1"/>
  <c r="AB55" i="1"/>
  <c r="Z49" i="1"/>
  <c r="AA49" i="1"/>
  <c r="AB49" i="1"/>
  <c r="AA39" i="1"/>
  <c r="AB39" i="1"/>
  <c r="Z39" i="1"/>
  <c r="O19" i="1"/>
  <c r="P19" i="1"/>
  <c r="Q19" i="1"/>
  <c r="R19" i="1"/>
  <c r="S19" i="1"/>
  <c r="T19" i="1"/>
  <c r="U19" i="1"/>
  <c r="V19" i="1"/>
  <c r="W19" i="1"/>
  <c r="O53" i="1"/>
  <c r="P53" i="1"/>
  <c r="Q53" i="1"/>
  <c r="R53" i="1"/>
  <c r="S53" i="1"/>
  <c r="T53" i="1"/>
  <c r="U53" i="1"/>
  <c r="V53" i="1"/>
  <c r="W53" i="1"/>
  <c r="O32" i="1"/>
  <c r="P32" i="1"/>
  <c r="Q32" i="1"/>
  <c r="R32" i="1"/>
  <c r="S32" i="1"/>
  <c r="T32" i="1"/>
  <c r="U32" i="1"/>
  <c r="V32" i="1"/>
  <c r="W32" i="1"/>
  <c r="O12" i="1"/>
  <c r="P12" i="1"/>
  <c r="Q12" i="1"/>
  <c r="R12" i="1"/>
  <c r="S12" i="1"/>
  <c r="T12" i="1"/>
  <c r="U12" i="1"/>
  <c r="V12" i="1"/>
  <c r="W12" i="1"/>
  <c r="O66" i="1"/>
  <c r="P66" i="1"/>
  <c r="Q66" i="1"/>
  <c r="R66" i="1"/>
  <c r="S66" i="1"/>
  <c r="T66" i="1"/>
  <c r="U66" i="1"/>
  <c r="V66" i="1"/>
  <c r="W66" i="1"/>
  <c r="O22" i="1"/>
  <c r="P22" i="1"/>
  <c r="Q22" i="1"/>
  <c r="R22" i="1"/>
  <c r="S22" i="1"/>
  <c r="T22" i="1"/>
  <c r="U22" i="1"/>
  <c r="V22" i="1"/>
  <c r="W22" i="1"/>
  <c r="O40" i="1"/>
  <c r="P40" i="1"/>
  <c r="Q40" i="1"/>
  <c r="R40" i="1"/>
  <c r="S40" i="1"/>
  <c r="T40" i="1"/>
  <c r="U40" i="1"/>
  <c r="V40" i="1"/>
  <c r="W40" i="1"/>
  <c r="O27" i="1"/>
  <c r="P27" i="1"/>
  <c r="Q27" i="1"/>
  <c r="R27" i="1"/>
  <c r="S27" i="1"/>
  <c r="T27" i="1"/>
  <c r="U27" i="1"/>
  <c r="V27" i="1"/>
  <c r="W27" i="1"/>
  <c r="O63" i="1"/>
  <c r="P63" i="1"/>
  <c r="Q63" i="1"/>
  <c r="R63" i="1"/>
  <c r="S63" i="1"/>
  <c r="T63" i="1"/>
  <c r="U63" i="1"/>
  <c r="V63" i="1"/>
  <c r="W63" i="1"/>
  <c r="O83" i="1"/>
  <c r="P83" i="1"/>
  <c r="Q83" i="1"/>
  <c r="R83" i="1"/>
  <c r="S83" i="1"/>
  <c r="T83" i="1"/>
  <c r="U83" i="1"/>
  <c r="V83" i="1"/>
  <c r="W83" i="1"/>
  <c r="O43" i="1"/>
  <c r="P43" i="1"/>
  <c r="Q43" i="1"/>
  <c r="R43" i="1"/>
  <c r="S43" i="1"/>
  <c r="T43" i="1"/>
  <c r="U43" i="1"/>
  <c r="V43" i="1"/>
  <c r="W43" i="1"/>
  <c r="O17" i="1"/>
  <c r="P17" i="1"/>
  <c r="Q17" i="1"/>
  <c r="R17" i="1"/>
  <c r="S17" i="1"/>
  <c r="T17" i="1"/>
  <c r="U17" i="1"/>
  <c r="V17" i="1"/>
  <c r="W17" i="1"/>
  <c r="O52" i="1"/>
  <c r="P52" i="1"/>
  <c r="Q52" i="1"/>
  <c r="R52" i="1"/>
  <c r="S52" i="1"/>
  <c r="T52" i="1"/>
  <c r="U52" i="1"/>
  <c r="V52" i="1"/>
  <c r="W52" i="1"/>
  <c r="O45" i="1"/>
  <c r="P45" i="1"/>
  <c r="Q45" i="1"/>
  <c r="R45" i="1"/>
  <c r="S45" i="1"/>
  <c r="T45" i="1"/>
  <c r="U45" i="1"/>
  <c r="V45" i="1"/>
  <c r="W45" i="1"/>
  <c r="O65" i="1"/>
  <c r="P65" i="1"/>
  <c r="Q65" i="1"/>
  <c r="R65" i="1"/>
  <c r="S65" i="1"/>
  <c r="T65" i="1"/>
  <c r="U65" i="1"/>
  <c r="V65" i="1"/>
  <c r="W65" i="1"/>
  <c r="O28" i="1"/>
  <c r="P28" i="1"/>
  <c r="Q28" i="1"/>
  <c r="R28" i="1"/>
  <c r="S28" i="1"/>
  <c r="T28" i="1"/>
  <c r="U28" i="1"/>
  <c r="V28" i="1"/>
  <c r="W28" i="1"/>
  <c r="O86" i="1"/>
  <c r="P86" i="1"/>
  <c r="Q86" i="1"/>
  <c r="R86" i="1"/>
  <c r="S86" i="1"/>
  <c r="T86" i="1"/>
  <c r="U86" i="1"/>
  <c r="V86" i="1"/>
  <c r="W86" i="1"/>
  <c r="O46" i="1"/>
  <c r="P46" i="1"/>
  <c r="Q46" i="1"/>
  <c r="R46" i="1"/>
  <c r="S46" i="1"/>
  <c r="T46" i="1"/>
  <c r="U46" i="1"/>
  <c r="V46" i="1"/>
  <c r="W46" i="1"/>
  <c r="O23" i="1"/>
  <c r="P23" i="1"/>
  <c r="Q23" i="1"/>
  <c r="R23" i="1"/>
  <c r="S23" i="1"/>
  <c r="T23" i="1"/>
  <c r="U23" i="1"/>
  <c r="V23" i="1"/>
  <c r="W23" i="1"/>
  <c r="O72" i="1"/>
  <c r="P72" i="1"/>
  <c r="Q72" i="1"/>
  <c r="R72" i="1"/>
  <c r="S72" i="1"/>
  <c r="T72" i="1"/>
  <c r="U72" i="1"/>
  <c r="V72" i="1"/>
  <c r="W72" i="1"/>
  <c r="O67" i="1"/>
  <c r="P67" i="1"/>
  <c r="Q67" i="1"/>
  <c r="R67" i="1"/>
  <c r="S67" i="1"/>
  <c r="T67" i="1"/>
  <c r="U67" i="1"/>
  <c r="V67" i="1"/>
  <c r="W67" i="1"/>
  <c r="O36" i="1"/>
  <c r="P36" i="1"/>
  <c r="Q36" i="1"/>
  <c r="R36" i="1"/>
  <c r="S36" i="1"/>
  <c r="T36" i="1"/>
  <c r="U36" i="1"/>
  <c r="V36" i="1"/>
  <c r="W36" i="1"/>
  <c r="O82" i="1"/>
  <c r="P82" i="1"/>
  <c r="Q82" i="1"/>
  <c r="R82" i="1"/>
  <c r="S82" i="1"/>
  <c r="T82" i="1"/>
  <c r="U82" i="1"/>
  <c r="V82" i="1"/>
  <c r="W82" i="1"/>
  <c r="O71" i="1"/>
  <c r="P71" i="1"/>
  <c r="Q71" i="1"/>
  <c r="R71" i="1"/>
  <c r="S71" i="1"/>
  <c r="T71" i="1"/>
  <c r="U71" i="1"/>
  <c r="V71" i="1"/>
  <c r="W71" i="1"/>
  <c r="O80" i="1"/>
  <c r="P80" i="1"/>
  <c r="Q80" i="1"/>
  <c r="R80" i="1"/>
  <c r="S80" i="1"/>
  <c r="T80" i="1"/>
  <c r="U80" i="1"/>
  <c r="V80" i="1"/>
  <c r="W80" i="1"/>
  <c r="O13" i="1"/>
  <c r="P13" i="1"/>
  <c r="P88" i="1" s="1"/>
  <c r="Q13" i="1"/>
  <c r="R13" i="1"/>
  <c r="S13" i="1"/>
  <c r="T13" i="1"/>
  <c r="T88" i="1" s="1"/>
  <c r="U13" i="1"/>
  <c r="V13" i="1"/>
  <c r="W13" i="1"/>
  <c r="O26" i="1"/>
  <c r="P26" i="1"/>
  <c r="Q26" i="1"/>
  <c r="R26" i="1"/>
  <c r="S26" i="1"/>
  <c r="T26" i="1"/>
  <c r="U26" i="1"/>
  <c r="V26" i="1"/>
  <c r="W26" i="1"/>
  <c r="O37" i="1"/>
  <c r="P37" i="1"/>
  <c r="Q37" i="1"/>
  <c r="R37" i="1"/>
  <c r="S37" i="1"/>
  <c r="T37" i="1"/>
  <c r="U37" i="1"/>
  <c r="V37" i="1"/>
  <c r="W37" i="1"/>
  <c r="O55" i="1"/>
  <c r="P55" i="1"/>
  <c r="Q55" i="1"/>
  <c r="R55" i="1"/>
  <c r="S55" i="1"/>
  <c r="T55" i="1"/>
  <c r="U55" i="1"/>
  <c r="V55" i="1"/>
  <c r="W55" i="1"/>
  <c r="O49" i="1"/>
  <c r="P49" i="1"/>
  <c r="Q49" i="1"/>
  <c r="R49" i="1"/>
  <c r="S49" i="1"/>
  <c r="T49" i="1"/>
  <c r="U49" i="1"/>
  <c r="V49" i="1"/>
  <c r="W49" i="1"/>
  <c r="U39" i="1"/>
  <c r="V39" i="1"/>
  <c r="W39" i="1"/>
  <c r="O39" i="1"/>
  <c r="P39" i="1"/>
  <c r="Q39" i="1"/>
  <c r="S39" i="1"/>
  <c r="R39" i="1"/>
  <c r="T39" i="1"/>
  <c r="J39" i="1"/>
  <c r="I39" i="1"/>
  <c r="C3" i="3" s="1"/>
  <c r="E3" i="3" s="1"/>
  <c r="I19" i="1"/>
  <c r="J19" i="1"/>
  <c r="J66" i="1"/>
  <c r="J22" i="1"/>
  <c r="J40" i="1"/>
  <c r="J27" i="1"/>
  <c r="J63" i="1"/>
  <c r="J83" i="1"/>
  <c r="J43" i="1"/>
  <c r="J17" i="1"/>
  <c r="J52" i="1"/>
  <c r="J45" i="1"/>
  <c r="J65" i="1"/>
  <c r="J28" i="1"/>
  <c r="J86" i="1"/>
  <c r="J46" i="1"/>
  <c r="J23" i="1"/>
  <c r="J72" i="1"/>
  <c r="J67" i="1"/>
  <c r="J36" i="1"/>
  <c r="J82" i="1"/>
  <c r="J71" i="1"/>
  <c r="J80" i="1"/>
  <c r="J13" i="1"/>
  <c r="J88" i="1" s="1"/>
  <c r="J97" i="1" s="1"/>
  <c r="J98" i="1" s="1"/>
  <c r="J26" i="1"/>
  <c r="J37" i="1"/>
  <c r="J55" i="1"/>
  <c r="J49" i="1"/>
  <c r="I49" i="1"/>
  <c r="C31" i="3" s="1"/>
  <c r="I55" i="1"/>
  <c r="C29" i="3" s="1"/>
  <c r="I37" i="1"/>
  <c r="C28" i="3" s="1"/>
  <c r="I26" i="1"/>
  <c r="I13" i="1"/>
  <c r="I80" i="1"/>
  <c r="I71" i="1"/>
  <c r="C26" i="3" s="1"/>
  <c r="I82" i="1"/>
  <c r="I36" i="1"/>
  <c r="I67" i="1"/>
  <c r="I72" i="1"/>
  <c r="I23" i="1"/>
  <c r="C20" i="3" s="1"/>
  <c r="E20" i="3" s="1"/>
  <c r="I46" i="1"/>
  <c r="I86" i="1"/>
  <c r="I28" i="1"/>
  <c r="C12" i="3" s="1"/>
  <c r="I65" i="1"/>
  <c r="I45" i="1"/>
  <c r="I52" i="1"/>
  <c r="I17" i="1"/>
  <c r="I43" i="1"/>
  <c r="I83" i="1"/>
  <c r="I63" i="1"/>
  <c r="I27" i="1"/>
  <c r="I40" i="1"/>
  <c r="I22" i="1"/>
  <c r="I66" i="1"/>
  <c r="I12" i="1"/>
  <c r="C8" i="3" s="1"/>
  <c r="I32" i="1"/>
  <c r="C7" i="3" s="1"/>
  <c r="E7" i="3" s="1"/>
  <c r="I53" i="1"/>
  <c r="C6" i="3" s="1"/>
  <c r="E26" i="3"/>
  <c r="E23" i="3"/>
  <c r="E17" i="3"/>
  <c r="E15" i="3"/>
  <c r="E29" i="3"/>
  <c r="C2" i="3"/>
  <c r="E28" i="3"/>
  <c r="N16" i="1"/>
  <c r="E31" i="3"/>
  <c r="E8" i="3"/>
  <c r="E12" i="3"/>
  <c r="E6" i="3"/>
  <c r="E18" i="3"/>
  <c r="E22" i="3"/>
  <c r="AA88" i="1"/>
  <c r="Z88" i="1"/>
  <c r="O88" i="1"/>
  <c r="W88" i="1"/>
  <c r="S88" i="1"/>
  <c r="N6" i="1"/>
  <c r="AC6" i="1"/>
  <c r="N5" i="1"/>
  <c r="M5" i="1"/>
  <c r="AC7" i="1"/>
  <c r="L6" i="1"/>
  <c r="L7" i="1"/>
  <c r="L5" i="1"/>
  <c r="AC60" i="1"/>
  <c r="L16" i="1"/>
  <c r="N45" i="1"/>
  <c r="L60" i="1"/>
  <c r="N11" i="1"/>
  <c r="L75" i="1"/>
  <c r="M16" i="1"/>
  <c r="AC81" i="1"/>
  <c r="AC24" i="1"/>
  <c r="M60" i="1"/>
  <c r="N70" i="1"/>
  <c r="L78" i="1"/>
  <c r="N42" i="1"/>
  <c r="L24" i="1"/>
  <c r="M69" i="1"/>
  <c r="AC18" i="1"/>
  <c r="AC56" i="1"/>
  <c r="AC62" i="1"/>
  <c r="AC69" i="1"/>
  <c r="N69" i="1"/>
  <c r="AC5" i="1"/>
  <c r="AC14" i="1"/>
  <c r="N76" i="1"/>
  <c r="L56" i="1"/>
  <c r="M7" i="1"/>
  <c r="AC75" i="1"/>
  <c r="N7" i="1"/>
  <c r="M3" i="1"/>
  <c r="AC10" i="1"/>
  <c r="AC48" i="1"/>
  <c r="L48" i="1"/>
  <c r="N85" i="1"/>
  <c r="L38" i="1"/>
  <c r="N30" i="1"/>
  <c r="L18" i="1"/>
  <c r="AC68" i="1"/>
  <c r="AC35" i="1"/>
  <c r="M48" i="1"/>
  <c r="AC85" i="1"/>
  <c r="N3" i="1"/>
  <c r="AC70" i="1"/>
  <c r="AC11" i="1"/>
  <c r="M75" i="1"/>
  <c r="E18" i="4" s="1"/>
  <c r="K18" i="4" s="1"/>
  <c r="AC47" i="1"/>
  <c r="N47" i="1"/>
  <c r="AC42" i="1"/>
  <c r="N25" i="1"/>
  <c r="L54" i="1"/>
  <c r="AC74" i="1"/>
  <c r="AC20" i="1"/>
  <c r="M10" i="1"/>
  <c r="L10" i="1"/>
  <c r="N87" i="1"/>
  <c r="L68" i="1"/>
  <c r="N29" i="1"/>
  <c r="N15" i="1"/>
  <c r="L57" i="1"/>
  <c r="N59" i="1"/>
  <c r="L84" i="1"/>
  <c r="AC78" i="1"/>
  <c r="M14" i="1"/>
  <c r="L14" i="1"/>
  <c r="N81" i="1"/>
  <c r="AC25" i="1"/>
  <c r="N33" i="1"/>
  <c r="L20" i="1"/>
  <c r="D17" i="4" s="1"/>
  <c r="J17" i="4" s="1"/>
  <c r="L69" i="1"/>
  <c r="AC87" i="1"/>
  <c r="AC73" i="1"/>
  <c r="M68" i="1"/>
  <c r="M57" i="1"/>
  <c r="M18" i="1"/>
  <c r="AC76" i="1"/>
  <c r="AC33" i="1"/>
  <c r="D16" i="5" s="1"/>
  <c r="F16" i="5" s="1"/>
  <c r="D15" i="5"/>
  <c r="F15" i="5" s="1"/>
  <c r="N44" i="1"/>
  <c r="L73" i="1"/>
  <c r="AC29" i="1"/>
  <c r="AC41" i="1"/>
  <c r="AC15" i="1"/>
  <c r="D18" i="5" s="1"/>
  <c r="F18" i="5" s="1"/>
  <c r="AC59" i="1"/>
  <c r="N51" i="1"/>
  <c r="M50" i="1"/>
  <c r="L50" i="1"/>
  <c r="N31" i="1"/>
  <c r="L79" i="1"/>
  <c r="AC61" i="1"/>
  <c r="M61" i="1"/>
  <c r="E8" i="4" s="1"/>
  <c r="K8" i="4" s="1"/>
  <c r="N74" i="1"/>
  <c r="AC44" i="1"/>
  <c r="N35" i="1"/>
  <c r="L41" i="1"/>
  <c r="N64" i="1"/>
  <c r="AC38" i="1"/>
  <c r="M38" i="1"/>
  <c r="AC51" i="1"/>
  <c r="AC31" i="1"/>
  <c r="N62" i="1"/>
  <c r="M20" i="1"/>
  <c r="M73" i="1"/>
  <c r="M41" i="1"/>
  <c r="AC64" i="1"/>
  <c r="M84" i="1"/>
  <c r="AC30" i="1"/>
  <c r="M79" i="1"/>
  <c r="M56" i="1"/>
  <c r="M33" i="1"/>
  <c r="L33" i="1"/>
  <c r="N10" i="1"/>
  <c r="M44" i="1"/>
  <c r="E9" i="4" s="1"/>
  <c r="K9" i="4" s="1"/>
  <c r="L44" i="1"/>
  <c r="N68" i="1"/>
  <c r="M35" i="1"/>
  <c r="L35" i="1"/>
  <c r="M15" i="1"/>
  <c r="L15" i="1"/>
  <c r="AC57" i="1"/>
  <c r="N57" i="1"/>
  <c r="N48" i="1"/>
  <c r="M85" i="1"/>
  <c r="L85" i="1"/>
  <c r="M51" i="1"/>
  <c r="L51" i="1"/>
  <c r="AC50" i="1"/>
  <c r="N50" i="1"/>
  <c r="N18" i="1"/>
  <c r="M76" i="1"/>
  <c r="L76" i="1"/>
  <c r="L61" i="1"/>
  <c r="M74" i="1"/>
  <c r="L74" i="1"/>
  <c r="N20" i="1"/>
  <c r="M87" i="1"/>
  <c r="L87" i="1"/>
  <c r="N73" i="1"/>
  <c r="M29" i="1"/>
  <c r="L29" i="1"/>
  <c r="N41" i="1"/>
  <c r="M64" i="1"/>
  <c r="L64" i="1"/>
  <c r="D13" i="4" s="1"/>
  <c r="J13" i="4" s="1"/>
  <c r="M59" i="1"/>
  <c r="L59" i="1"/>
  <c r="AC84" i="1"/>
  <c r="N84" i="1"/>
  <c r="N38" i="1"/>
  <c r="M30" i="1"/>
  <c r="L30" i="1"/>
  <c r="M31" i="1"/>
  <c r="L31" i="1"/>
  <c r="AC79" i="1"/>
  <c r="D26" i="5" s="1"/>
  <c r="F26" i="5" s="1"/>
  <c r="N79" i="1"/>
  <c r="N56" i="1"/>
  <c r="L3" i="1"/>
  <c r="M62" i="1"/>
  <c r="L62" i="1"/>
  <c r="N61" i="1"/>
  <c r="M78" i="1"/>
  <c r="M24" i="1"/>
  <c r="AC54" i="1"/>
  <c r="M70" i="1"/>
  <c r="L70" i="1"/>
  <c r="N14" i="1"/>
  <c r="M42" i="1"/>
  <c r="L42" i="1"/>
  <c r="N60" i="1"/>
  <c r="M25" i="1"/>
  <c r="E14" i="4" s="1"/>
  <c r="K14" i="4" s="1"/>
  <c r="L25" i="1"/>
  <c r="M54" i="1"/>
  <c r="M47" i="1"/>
  <c r="L47" i="1"/>
  <c r="N78" i="1"/>
  <c r="M81" i="1"/>
  <c r="L81" i="1"/>
  <c r="N24" i="1"/>
  <c r="M11" i="1"/>
  <c r="L11" i="1"/>
  <c r="N54" i="1"/>
  <c r="N75" i="1"/>
  <c r="AC49" i="1"/>
  <c r="AC13" i="1"/>
  <c r="AC36" i="1"/>
  <c r="AC46" i="1"/>
  <c r="AC45" i="1"/>
  <c r="AC83" i="1"/>
  <c r="AC22" i="1"/>
  <c r="AC53" i="1"/>
  <c r="AC55" i="1"/>
  <c r="AC80" i="1"/>
  <c r="AC67" i="1"/>
  <c r="AC86" i="1"/>
  <c r="AC52" i="1"/>
  <c r="AC63" i="1"/>
  <c r="AC66" i="1"/>
  <c r="AC19" i="1"/>
  <c r="AC26" i="1"/>
  <c r="AC82" i="1"/>
  <c r="D3" i="5" s="1"/>
  <c r="F3" i="5" s="1"/>
  <c r="AC23" i="1"/>
  <c r="AC65" i="1"/>
  <c r="AC43" i="1"/>
  <c r="D19" i="5" s="1"/>
  <c r="F19" i="5" s="1"/>
  <c r="AC40" i="1"/>
  <c r="AC32" i="1"/>
  <c r="AC37" i="1"/>
  <c r="AC71" i="1"/>
  <c r="AC72" i="1"/>
  <c r="AC28" i="1"/>
  <c r="AC17" i="1"/>
  <c r="AC27" i="1"/>
  <c r="AC12" i="1"/>
  <c r="D21" i="5" s="1"/>
  <c r="F21" i="5" s="1"/>
  <c r="AC39" i="1"/>
  <c r="M55" i="1"/>
  <c r="M80" i="1"/>
  <c r="M67" i="1"/>
  <c r="M86" i="1"/>
  <c r="M52" i="1"/>
  <c r="M63" i="1"/>
  <c r="M66" i="1"/>
  <c r="L53" i="1"/>
  <c r="M19" i="1"/>
  <c r="L55" i="1"/>
  <c r="M37" i="1"/>
  <c r="E12" i="4" s="1"/>
  <c r="K12" i="4" s="1"/>
  <c r="N26" i="1"/>
  <c r="L80" i="1"/>
  <c r="M71" i="1"/>
  <c r="N82" i="1"/>
  <c r="L67" i="1"/>
  <c r="M72" i="1"/>
  <c r="N23" i="1"/>
  <c r="L86" i="1"/>
  <c r="M28" i="1"/>
  <c r="N65" i="1"/>
  <c r="L52" i="1"/>
  <c r="M17" i="1"/>
  <c r="N43" i="1"/>
  <c r="L63" i="1"/>
  <c r="M27" i="1"/>
  <c r="N40" i="1"/>
  <c r="L66" i="1"/>
  <c r="M12" i="1"/>
  <c r="N32" i="1"/>
  <c r="L19" i="1"/>
  <c r="L49" i="1"/>
  <c r="N37" i="1"/>
  <c r="L13" i="1"/>
  <c r="N71" i="1"/>
  <c r="L36" i="1"/>
  <c r="N72" i="1"/>
  <c r="L46" i="1"/>
  <c r="N28" i="1"/>
  <c r="L45" i="1"/>
  <c r="N17" i="1"/>
  <c r="L83" i="1"/>
  <c r="N27" i="1"/>
  <c r="L22" i="1"/>
  <c r="N12" i="1"/>
  <c r="N49" i="1"/>
  <c r="L37" i="1"/>
  <c r="N13" i="1"/>
  <c r="L71" i="1"/>
  <c r="N36" i="1"/>
  <c r="L72" i="1"/>
  <c r="N46" i="1"/>
  <c r="L28" i="1"/>
  <c r="L17" i="1"/>
  <c r="N83" i="1"/>
  <c r="L27" i="1"/>
  <c r="N22" i="1"/>
  <c r="L12" i="1"/>
  <c r="N53" i="1"/>
  <c r="M49" i="1"/>
  <c r="N55" i="1"/>
  <c r="M26" i="1"/>
  <c r="L26" i="1"/>
  <c r="D7" i="4" s="1"/>
  <c r="J7" i="4" s="1"/>
  <c r="M13" i="1"/>
  <c r="N80" i="1"/>
  <c r="M82" i="1"/>
  <c r="L82" i="1"/>
  <c r="M36" i="1"/>
  <c r="N67" i="1"/>
  <c r="M23" i="1"/>
  <c r="L23" i="1"/>
  <c r="M46" i="1"/>
  <c r="N86" i="1"/>
  <c r="M65" i="1"/>
  <c r="L65" i="1"/>
  <c r="M45" i="1"/>
  <c r="N52" i="1"/>
  <c r="M43" i="1"/>
  <c r="L43" i="1"/>
  <c r="M83" i="1"/>
  <c r="N63" i="1"/>
  <c r="F8" i="4" s="1"/>
  <c r="M40" i="1"/>
  <c r="L40" i="1"/>
  <c r="D5" i="4" s="1"/>
  <c r="M22" i="1"/>
  <c r="N66" i="1"/>
  <c r="M32" i="1"/>
  <c r="L32" i="1"/>
  <c r="M53" i="1"/>
  <c r="N19" i="1"/>
  <c r="F16" i="4" s="1"/>
  <c r="L16" i="4" s="1"/>
  <c r="M39" i="1"/>
  <c r="N39" i="1"/>
  <c r="L39" i="1"/>
  <c r="D6" i="4"/>
  <c r="J6" i="4" s="1"/>
  <c r="F14" i="4"/>
  <c r="L14" i="4" s="1"/>
  <c r="D6" i="5"/>
  <c r="F6" i="5" s="1"/>
  <c r="D28" i="5"/>
  <c r="F28" i="5" s="1"/>
  <c r="D17" i="5"/>
  <c r="F17" i="5" s="1"/>
  <c r="F12" i="4"/>
  <c r="L12" i="4" s="1"/>
  <c r="D9" i="4"/>
  <c r="J9" i="4" s="1"/>
  <c r="D8" i="4"/>
  <c r="J8" i="4" s="1"/>
  <c r="D18" i="4"/>
  <c r="J18" i="4" s="1"/>
  <c r="E13" i="4"/>
  <c r="K13" i="4" s="1"/>
  <c r="F19" i="4"/>
  <c r="L19" i="4" s="1"/>
  <c r="D2" i="5"/>
  <c r="F2" i="5" s="1"/>
  <c r="D23" i="5"/>
  <c r="F23" i="5" s="1"/>
  <c r="D14" i="4"/>
  <c r="J14" i="4" s="1"/>
  <c r="E19" i="4"/>
  <c r="K19" i="4" s="1"/>
  <c r="F9" i="4"/>
  <c r="L9" i="4" s="1"/>
  <c r="F13" i="4"/>
  <c r="L13" i="4" s="1"/>
  <c r="F6" i="4"/>
  <c r="L6" i="4" s="1"/>
  <c r="D12" i="4"/>
  <c r="J12" i="4" s="1"/>
  <c r="D16" i="4"/>
  <c r="J16" i="4" s="1"/>
  <c r="E6" i="4"/>
  <c r="K6" i="4" s="1"/>
  <c r="E16" i="4"/>
  <c r="K16" i="4" s="1"/>
  <c r="D15" i="4"/>
  <c r="J15" i="4" s="1"/>
  <c r="E15" i="4"/>
  <c r="K15" i="4" s="1"/>
  <c r="F11" i="4"/>
  <c r="L11" i="4" s="1"/>
  <c r="F17" i="4"/>
  <c r="L17" i="4" s="1"/>
  <c r="F7" i="4"/>
  <c r="L7" i="4" s="1"/>
  <c r="D10" i="4"/>
  <c r="J10" i="4" s="1"/>
  <c r="E10" i="4"/>
  <c r="K10" i="4" s="1"/>
  <c r="F5" i="4"/>
  <c r="L5" i="4" s="1"/>
  <c r="E17" i="4"/>
  <c r="K17" i="4" s="1"/>
  <c r="E7" i="4"/>
  <c r="K7" i="4" s="1"/>
  <c r="D11" i="4"/>
  <c r="J11" i="4" s="1"/>
  <c r="E11" i="4"/>
  <c r="K11" i="4" s="1"/>
  <c r="F10" i="4"/>
  <c r="L10" i="4" s="1"/>
  <c r="E5" i="4"/>
  <c r="K5" i="4" s="1"/>
  <c r="D19" i="4"/>
  <c r="J19" i="4" s="1"/>
  <c r="F15" i="4"/>
  <c r="L15" i="4" s="1"/>
  <c r="D25" i="5"/>
  <c r="F25" i="5" s="1"/>
  <c r="D11" i="5"/>
  <c r="F11" i="5" s="1"/>
  <c r="D4" i="5"/>
  <c r="F4" i="5" s="1"/>
  <c r="D13" i="5"/>
  <c r="F13" i="5"/>
  <c r="D12" i="5"/>
  <c r="F12" i="5" s="1"/>
  <c r="D5" i="5"/>
  <c r="F5" i="5"/>
  <c r="D20" i="5"/>
  <c r="F20" i="5" s="1"/>
  <c r="D7" i="5"/>
  <c r="F7" i="5"/>
  <c r="D22" i="5"/>
  <c r="F22" i="5" s="1"/>
  <c r="D27" i="5"/>
  <c r="F27" i="5" s="1"/>
  <c r="D10" i="5"/>
  <c r="F10" i="5"/>
  <c r="D9" i="5"/>
  <c r="F9" i="5" s="1"/>
  <c r="D8" i="5"/>
  <c r="F8" i="5" s="1"/>
  <c r="E2" i="3"/>
  <c r="G3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N17" i="7"/>
  <c r="N7" i="7"/>
  <c r="N12" i="7"/>
  <c r="N33" i="7"/>
  <c r="N11" i="7"/>
  <c r="N28" i="7"/>
  <c r="N10" i="7"/>
  <c r="N27" i="7"/>
  <c r="N26" i="7"/>
  <c r="N4" i="7"/>
  <c r="N16" i="7"/>
  <c r="N32" i="7"/>
  <c r="N5" i="7"/>
  <c r="N21" i="7"/>
  <c r="N37" i="7"/>
  <c r="N14" i="7"/>
  <c r="N19" i="7"/>
  <c r="N23" i="7"/>
  <c r="N35" i="7"/>
  <c r="N30" i="7"/>
  <c r="N20" i="7"/>
  <c r="N36" i="7"/>
  <c r="N9" i="7"/>
  <c r="N25" i="7"/>
  <c r="N41" i="7"/>
  <c r="N18" i="7"/>
  <c r="N31" i="7"/>
  <c r="N34" i="7"/>
  <c r="N15" i="7"/>
  <c r="N8" i="7"/>
  <c r="N24" i="7"/>
  <c r="N40" i="7"/>
  <c r="N13" i="7"/>
  <c r="N29" i="7"/>
  <c r="N6" i="7"/>
  <c r="N22" i="7"/>
  <c r="N39" i="7"/>
  <c r="N3" i="7"/>
  <c r="N38" i="7"/>
  <c r="U88" i="1" l="1"/>
  <c r="AC9" i="1"/>
  <c r="R88" i="1"/>
  <c r="V88" i="1"/>
  <c r="F20" i="4"/>
  <c r="L20" i="4" s="1"/>
  <c r="L88" i="1"/>
  <c r="D20" i="4"/>
  <c r="J20" i="4" s="1"/>
  <c r="M88" i="1"/>
  <c r="E20" i="4"/>
  <c r="K20" i="4" s="1"/>
  <c r="K21" i="4" s="1"/>
  <c r="K30" i="4" s="1"/>
  <c r="S3" i="7"/>
  <c r="J5" i="4"/>
  <c r="L8" i="4"/>
  <c r="I88" i="1"/>
  <c r="C11" i="3"/>
  <c r="E11" i="3" s="1"/>
  <c r="Q10" i="7"/>
  <c r="S10" i="7" s="1"/>
  <c r="C46" i="7"/>
  <c r="E10" i="7"/>
  <c r="E46" i="7" s="1"/>
  <c r="N21" i="1"/>
  <c r="Q25" i="7"/>
  <c r="S25" i="7" s="1"/>
  <c r="Q26" i="7"/>
  <c r="S26" i="7" s="1"/>
  <c r="Q17" i="7"/>
  <c r="S17" i="7" s="1"/>
  <c r="Q19" i="7"/>
  <c r="S19" i="7" s="1"/>
  <c r="J7" i="7"/>
  <c r="AQ46" i="1"/>
  <c r="AQ74" i="1"/>
  <c r="BC74" i="1" s="1"/>
  <c r="Q24" i="7" s="1"/>
  <c r="S24" i="7" s="1"/>
  <c r="AO33" i="1"/>
  <c r="BA33" i="1" s="1"/>
  <c r="C9" i="3"/>
  <c r="E9" i="3" s="1"/>
  <c r="C10" i="3"/>
  <c r="E10" i="3" s="1"/>
  <c r="C27" i="3"/>
  <c r="E27" i="3" s="1"/>
  <c r="C25" i="3"/>
  <c r="E25" i="3" s="1"/>
  <c r="C16" i="3"/>
  <c r="E16" i="3" s="1"/>
  <c r="C14" i="3"/>
  <c r="E14" i="3" s="1"/>
  <c r="C21" i="3"/>
  <c r="E21" i="3" s="1"/>
  <c r="C5" i="3"/>
  <c r="E5" i="3" s="1"/>
  <c r="C24" i="3"/>
  <c r="E24" i="3" s="1"/>
  <c r="C19" i="3"/>
  <c r="E19" i="3" s="1"/>
  <c r="C4" i="3"/>
  <c r="AC3" i="1"/>
  <c r="C13" i="3"/>
  <c r="E13" i="3" s="1"/>
  <c r="J21" i="4" l="1"/>
  <c r="J30" i="4" s="1"/>
  <c r="D21" i="4"/>
  <c r="L7" i="7"/>
  <c r="L35" i="7" s="1"/>
  <c r="J35" i="7"/>
  <c r="Q23" i="7"/>
  <c r="S23" i="7" s="1"/>
  <c r="BA88" i="1"/>
  <c r="F18" i="4"/>
  <c r="N88" i="1"/>
  <c r="AO88" i="1"/>
  <c r="BC46" i="1"/>
  <c r="AQ88" i="1"/>
  <c r="E21" i="4"/>
  <c r="D24" i="5"/>
  <c r="AC88" i="1"/>
  <c r="E4" i="3"/>
  <c r="E32" i="3" s="1"/>
  <c r="E41" i="3" s="1"/>
  <c r="E42" i="3" s="1"/>
  <c r="C32" i="3"/>
  <c r="Q27" i="7" l="1"/>
  <c r="BC88" i="1"/>
  <c r="L18" i="4"/>
  <c r="L21" i="4" s="1"/>
  <c r="L30" i="4" s="1"/>
  <c r="J31" i="4" s="1"/>
  <c r="I32" i="4" s="1"/>
  <c r="F21" i="4"/>
  <c r="F24" i="5"/>
  <c r="F29" i="5" s="1"/>
  <c r="F35" i="5" s="1"/>
  <c r="D29" i="5"/>
  <c r="S27" i="7" l="1"/>
  <c r="S42" i="7" s="1"/>
  <c r="Q42" i="7"/>
  <c r="F37" i="5"/>
  <c r="F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Cryp7iC</author>
  </authors>
  <commentList>
    <comment ref="Z2" authorId="0" shapeId="0" xr:uid="{2E9179B5-F640-4923-9D30-94FF86343CFE}">
      <text>
        <r>
          <rPr>
            <b/>
            <sz val="9"/>
            <color indexed="81"/>
            <rFont val="Tahoma"/>
            <family val="2"/>
          </rPr>
          <t>Cryp7iC: 
Please Keep Column Z to AB Hidden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<sst xmlns="http://schemas.openxmlformats.org/spreadsheetml/2006/main" count="1365" uniqueCount="430">
  <si>
    <t>Sl No.</t>
  </si>
  <si>
    <t>Name</t>
  </si>
  <si>
    <t>Element</t>
  </si>
  <si>
    <t>Level</t>
  </si>
  <si>
    <t>Talent Level</t>
  </si>
  <si>
    <t>World Boss</t>
  </si>
  <si>
    <t>Hero's Wits</t>
  </si>
  <si>
    <t>Talent Books</t>
  </si>
  <si>
    <t>{for SUM formula} please keep O~W Columns hidden</t>
  </si>
  <si>
    <t>Weekly Boss Mats</t>
  </si>
  <si>
    <t>Ascension Flowers</t>
  </si>
  <si>
    <t>Ascension Stones</t>
  </si>
  <si>
    <t>Ascension Mob Materials</t>
  </si>
  <si>
    <t>Talent Mob Materials</t>
  </si>
  <si>
    <t>{for SUM formula} please keep AR~AZ Columns hidden</t>
  </si>
  <si>
    <t>Total Mob Materials</t>
  </si>
  <si>
    <t>NA</t>
  </si>
  <si>
    <t>Skill</t>
  </si>
  <si>
    <t>Burst</t>
  </si>
  <si>
    <t>World Boss Name</t>
  </si>
  <si>
    <t>Mats Need</t>
  </si>
  <si>
    <t>Book Name</t>
  </si>
  <si>
    <t>4* Book</t>
  </si>
  <si>
    <t>3* Book</t>
  </si>
  <si>
    <t>2* Book</t>
  </si>
  <si>
    <t>4*</t>
  </si>
  <si>
    <t>3*</t>
  </si>
  <si>
    <t>2*</t>
  </si>
  <si>
    <r>
      <t>4*</t>
    </r>
    <r>
      <rPr>
        <b/>
        <i/>
        <sz val="12"/>
        <color theme="4"/>
        <rFont val="Calibri"/>
        <family val="2"/>
        <scheme val="minor"/>
      </rPr>
      <t>2</t>
    </r>
  </si>
  <si>
    <r>
      <t>3*</t>
    </r>
    <r>
      <rPr>
        <b/>
        <i/>
        <sz val="12"/>
        <color theme="4"/>
        <rFont val="Calibri"/>
        <family val="2"/>
        <scheme val="minor"/>
      </rPr>
      <t>3</t>
    </r>
  </si>
  <si>
    <r>
      <t>2*</t>
    </r>
    <r>
      <rPr>
        <b/>
        <i/>
        <sz val="12"/>
        <color theme="4"/>
        <rFont val="Calibri"/>
        <family val="2"/>
        <scheme val="minor"/>
      </rPr>
      <t>4</t>
    </r>
  </si>
  <si>
    <r>
      <t>4*</t>
    </r>
    <r>
      <rPr>
        <b/>
        <i/>
        <sz val="12"/>
        <color theme="4"/>
        <rFont val="Calibri"/>
        <family val="2"/>
        <scheme val="minor"/>
      </rPr>
      <t>5</t>
    </r>
  </si>
  <si>
    <r>
      <t>3*</t>
    </r>
    <r>
      <rPr>
        <b/>
        <i/>
        <sz val="12"/>
        <color theme="4"/>
        <rFont val="Calibri"/>
        <family val="2"/>
        <scheme val="minor"/>
      </rPr>
      <t>6</t>
    </r>
  </si>
  <si>
    <r>
      <t>2*</t>
    </r>
    <r>
      <rPr>
        <b/>
        <i/>
        <sz val="12"/>
        <color theme="4"/>
        <rFont val="Calibri"/>
        <family val="2"/>
        <scheme val="minor"/>
      </rPr>
      <t>7</t>
    </r>
  </si>
  <si>
    <t>Weekly Boss Name</t>
  </si>
  <si>
    <t>Mats Name</t>
  </si>
  <si>
    <r>
      <t>NA</t>
    </r>
    <r>
      <rPr>
        <b/>
        <i/>
        <sz val="12"/>
        <color theme="4"/>
        <rFont val="Calibri"/>
        <family val="2"/>
        <scheme val="minor"/>
      </rPr>
      <t>9</t>
    </r>
  </si>
  <si>
    <r>
      <t>Skill</t>
    </r>
    <r>
      <rPr>
        <b/>
        <i/>
        <sz val="12"/>
        <color theme="4"/>
        <rFont val="Calibri"/>
        <family val="2"/>
        <scheme val="minor"/>
      </rPr>
      <t>10</t>
    </r>
  </si>
  <si>
    <r>
      <t>Burst</t>
    </r>
    <r>
      <rPr>
        <b/>
        <i/>
        <sz val="12"/>
        <color theme="4"/>
        <rFont val="Calibri"/>
        <family val="2"/>
        <scheme val="minor"/>
      </rPr>
      <t>11</t>
    </r>
  </si>
  <si>
    <t>Mats Qty</t>
  </si>
  <si>
    <t>Flower Name</t>
  </si>
  <si>
    <t>Quantity</t>
  </si>
  <si>
    <t>Stone Name</t>
  </si>
  <si>
    <t>Gemstone</t>
  </si>
  <si>
    <t>Chunk</t>
  </si>
  <si>
    <t>Fragment</t>
  </si>
  <si>
    <t>Silver</t>
  </si>
  <si>
    <t>Mob Name</t>
  </si>
  <si>
    <t>3* (Asc)</t>
  </si>
  <si>
    <t>2* (Asc)</t>
  </si>
  <si>
    <t>1* (Asc)</t>
  </si>
  <si>
    <t>3* (Tal)</t>
  </si>
  <si>
    <t>2* (Tal)</t>
  </si>
  <si>
    <t>1* (Tal)</t>
  </si>
  <si>
    <r>
      <t>3*</t>
    </r>
    <r>
      <rPr>
        <b/>
        <i/>
        <sz val="12"/>
        <color theme="4"/>
        <rFont val="Calibri"/>
        <family val="2"/>
        <scheme val="minor"/>
      </rPr>
      <t>2</t>
    </r>
  </si>
  <si>
    <r>
      <t>2*</t>
    </r>
    <r>
      <rPr>
        <b/>
        <i/>
        <sz val="12"/>
        <color theme="4"/>
        <rFont val="Calibri"/>
        <family val="2"/>
        <scheme val="minor"/>
      </rPr>
      <t>2</t>
    </r>
  </si>
  <si>
    <r>
      <t>1*</t>
    </r>
    <r>
      <rPr>
        <b/>
        <i/>
        <sz val="12"/>
        <color theme="4"/>
        <rFont val="Calibri"/>
        <family val="2"/>
        <scheme val="minor"/>
      </rPr>
      <t>2</t>
    </r>
  </si>
  <si>
    <r>
      <t>3*</t>
    </r>
    <r>
      <rPr>
        <b/>
        <i/>
        <sz val="12"/>
        <color theme="4"/>
        <rFont val="Calibri"/>
        <family val="2"/>
        <scheme val="minor"/>
      </rPr>
      <t>22</t>
    </r>
  </si>
  <si>
    <r>
      <t>2*</t>
    </r>
    <r>
      <rPr>
        <b/>
        <i/>
        <sz val="12"/>
        <color theme="4"/>
        <rFont val="Calibri"/>
        <family val="2"/>
        <scheme val="minor"/>
      </rPr>
      <t>23</t>
    </r>
  </si>
  <si>
    <r>
      <t>1*</t>
    </r>
    <r>
      <rPr>
        <b/>
        <i/>
        <sz val="12"/>
        <color theme="4"/>
        <rFont val="Calibri"/>
        <family val="2"/>
        <scheme val="minor"/>
      </rPr>
      <t>24</t>
    </r>
  </si>
  <si>
    <r>
      <t>3*</t>
    </r>
    <r>
      <rPr>
        <b/>
        <i/>
        <sz val="12"/>
        <color theme="4"/>
        <rFont val="Calibri"/>
        <family val="2"/>
        <scheme val="minor"/>
      </rPr>
      <t>23</t>
    </r>
  </si>
  <si>
    <r>
      <t>2*</t>
    </r>
    <r>
      <rPr>
        <b/>
        <i/>
        <sz val="12"/>
        <color theme="4"/>
        <rFont val="Calibri"/>
        <family val="2"/>
        <scheme val="minor"/>
      </rPr>
      <t>24</t>
    </r>
  </si>
  <si>
    <r>
      <t>1*</t>
    </r>
    <r>
      <rPr>
        <b/>
        <i/>
        <sz val="12"/>
        <color theme="4"/>
        <rFont val="Calibri"/>
        <family val="2"/>
        <scheme val="minor"/>
      </rPr>
      <t>25</t>
    </r>
  </si>
  <si>
    <t>3* Mats</t>
  </si>
  <si>
    <t>2* Mats</t>
  </si>
  <si>
    <t>1* Mats</t>
  </si>
  <si>
    <t>Aether</t>
  </si>
  <si>
    <t>Anemo</t>
  </si>
  <si>
    <t>N/A</t>
  </si>
  <si>
    <t>-</t>
  </si>
  <si>
    <t>Stormterror</t>
  </si>
  <si>
    <t>Dvalin's Sigh</t>
  </si>
  <si>
    <t>Windwheel Aster</t>
  </si>
  <si>
    <t>Brilliant Diamond</t>
  </si>
  <si>
    <t>Hilichurl</t>
  </si>
  <si>
    <t>Faruzan</t>
  </si>
  <si>
    <t>ASIMON</t>
  </si>
  <si>
    <t>Admonition</t>
  </si>
  <si>
    <t>Shouki no Kami</t>
  </si>
  <si>
    <t>Puppet Strings</t>
  </si>
  <si>
    <t>Vayuda Turquoise (Anemo)</t>
  </si>
  <si>
    <t>The Eremites</t>
  </si>
  <si>
    <t>Jean</t>
  </si>
  <si>
    <t>Anemo Hypostases</t>
  </si>
  <si>
    <t>Resistance</t>
  </si>
  <si>
    <t>Dvalin's Plume</t>
  </si>
  <si>
    <t>Dandelion Seed</t>
  </si>
  <si>
    <t>Kazuha</t>
  </si>
  <si>
    <t>Maguu Kenki</t>
  </si>
  <si>
    <t>Dilligence</t>
  </si>
  <si>
    <t>Azhdaha</t>
  </si>
  <si>
    <t>Gilded Scale</t>
  </si>
  <si>
    <t>Sea Ganoderma</t>
  </si>
  <si>
    <t>Treasure Hoarder</t>
  </si>
  <si>
    <t>Lynette</t>
  </si>
  <si>
    <t>Coppelia</t>
  </si>
  <si>
    <t>Order</t>
  </si>
  <si>
    <t>Apep's Oasis</t>
  </si>
  <si>
    <t>Everamber</t>
  </si>
  <si>
    <t>Lumidouce Bell</t>
  </si>
  <si>
    <t>Clockwork Meka</t>
  </si>
  <si>
    <t>Heizou</t>
  </si>
  <si>
    <t>Ruin Serpents</t>
  </si>
  <si>
    <t>Transience</t>
  </si>
  <si>
    <t>Eternity</t>
  </si>
  <si>
    <t>The Meaning of Aeons</t>
  </si>
  <si>
    <t>Onikabuto</t>
  </si>
  <si>
    <t>Sayu</t>
  </si>
  <si>
    <t>Light</t>
  </si>
  <si>
    <t>Crystal Marrow</t>
  </si>
  <si>
    <t>Whopper­flower</t>
  </si>
  <si>
    <t>Sucrose</t>
  </si>
  <si>
    <t>Freedom</t>
  </si>
  <si>
    <t>Wolf of the North</t>
  </si>
  <si>
    <t>Spirit Locket of Boreas</t>
  </si>
  <si>
    <t>Venti</t>
  </si>
  <si>
    <t>Ballad</t>
  </si>
  <si>
    <t>Tail of Boreas</t>
  </si>
  <si>
    <t>Cecilia</t>
  </si>
  <si>
    <t>Slime</t>
  </si>
  <si>
    <t>Wonderer</t>
  </si>
  <si>
    <t>Aeonblight Drakes</t>
  </si>
  <si>
    <t>Praxis</t>
  </si>
  <si>
    <t>Daka's Bell</t>
  </si>
  <si>
    <t>Rukkhashava Mushrooms</t>
  </si>
  <si>
    <t>Nobushi</t>
  </si>
  <si>
    <t>Xianyun</t>
  </si>
  <si>
    <t>Solitary Suanni</t>
  </si>
  <si>
    <t>Gold</t>
  </si>
  <si>
    <t>Narwhal</t>
  </si>
  <si>
    <t>Lightless Eye of the Maelstrom</t>
  </si>
  <si>
    <t>Clearwater Jade</t>
  </si>
  <si>
    <t>Samachurl</t>
  </si>
  <si>
    <t>Xiao</t>
  </si>
  <si>
    <t>Primo Geovishaps</t>
  </si>
  <si>
    <t>Prosperity</t>
  </si>
  <si>
    <t>Childe</t>
  </si>
  <si>
    <t>Shadow of the Warrior</t>
  </si>
  <si>
    <t>Qingxin</t>
  </si>
  <si>
    <t>Cryo</t>
  </si>
  <si>
    <t>Aloy</t>
  </si>
  <si>
    <t>Cryo Hypostases</t>
  </si>
  <si>
    <t>Signora</t>
  </si>
  <si>
    <t>Molten Moment</t>
  </si>
  <si>
    <t>Shivada Jade (Cryo)</t>
  </si>
  <si>
    <t>Specte</t>
  </si>
  <si>
    <t>Charlotte</t>
  </si>
  <si>
    <t>Experimental Field Generators</t>
  </si>
  <si>
    <t>Justice</t>
  </si>
  <si>
    <t>Lightless Silk String</t>
  </si>
  <si>
    <t>Beryl Conch</t>
  </si>
  <si>
    <t>Chongyun</t>
  </si>
  <si>
    <t>Cryo Regisvines</t>
  </si>
  <si>
    <t>Cor Lapis</t>
  </si>
  <si>
    <t>Diona</t>
  </si>
  <si>
    <t>Shard of a Fould Lagacy</t>
  </si>
  <si>
    <t>Calla Lily</t>
  </si>
  <si>
    <t>Hilichurl Shooter</t>
  </si>
  <si>
    <t>Eula</t>
  </si>
  <si>
    <t>Dragon Lord's Crown</t>
  </si>
  <si>
    <t>Freminet</t>
  </si>
  <si>
    <t>Coppelius</t>
  </si>
  <si>
    <t>Worldspan Fern</t>
  </si>
  <si>
    <t>Romaritime Flower</t>
  </si>
  <si>
    <t>Fontemer Aberrant</t>
  </si>
  <si>
    <t>Ganyu</t>
  </si>
  <si>
    <t>Kaeya</t>
  </si>
  <si>
    <t>Kamisato Ayaka</t>
  </si>
  <si>
    <t>Perpetual Mecha. Arrays</t>
  </si>
  <si>
    <t>Elegance</t>
  </si>
  <si>
    <t>Bloodjade Branch</t>
  </si>
  <si>
    <t>Sakura Bloom</t>
  </si>
  <si>
    <t>Layla</t>
  </si>
  <si>
    <t>Ingenuity</t>
  </si>
  <si>
    <t>Mirror Of Mushin</t>
  </si>
  <si>
    <t>Nilotpala Lotus</t>
  </si>
  <si>
    <t>Mika</t>
  </si>
  <si>
    <t>Setekh Wenut</t>
  </si>
  <si>
    <t>Wolfhook</t>
  </si>
  <si>
    <t>Fatui Skirmisher</t>
  </si>
  <si>
    <t>Qiqi</t>
  </si>
  <si>
    <t>Violetgrass</t>
  </si>
  <si>
    <t>Rosaria</t>
  </si>
  <si>
    <t>Valberry</t>
  </si>
  <si>
    <t>Shenhe</t>
  </si>
  <si>
    <t>Bathysmal Vishap Herds</t>
  </si>
  <si>
    <t>Hellfire Butterfly</t>
  </si>
  <si>
    <t>Wriothesley</t>
  </si>
  <si>
    <t>Primordial Greenbloom</t>
  </si>
  <si>
    <t>Subdetection Unit</t>
  </si>
  <si>
    <t>Dendro</t>
  </si>
  <si>
    <t>Mudra of the Malefic General</t>
  </si>
  <si>
    <t>Alhaitham</t>
  </si>
  <si>
    <t>Sand Grease Pupa</t>
  </si>
  <si>
    <t>Nagadus Emerald (Dendro)</t>
  </si>
  <si>
    <t>Baizhu</t>
  </si>
  <si>
    <t>Iniquitous Baptists</t>
  </si>
  <si>
    <t>Fungus</t>
  </si>
  <si>
    <t>Collei</t>
  </si>
  <si>
    <t>Jadeplume Terrorshroom</t>
  </si>
  <si>
    <t>Tears of the Calamitous God</t>
  </si>
  <si>
    <t>Kaveh</t>
  </si>
  <si>
    <t>Dendro Hypostases</t>
  </si>
  <si>
    <t>Mourning Flower</t>
  </si>
  <si>
    <t>Kirara</t>
  </si>
  <si>
    <t>Amakumo Fruit</t>
  </si>
  <si>
    <t>Nahida</t>
  </si>
  <si>
    <t>Kalpalata Lotus</t>
  </si>
  <si>
    <t>Tighnari</t>
  </si>
  <si>
    <t>Yaoyao</t>
  </si>
  <si>
    <t>Jueyun Chili</t>
  </si>
  <si>
    <t>Dori</t>
  </si>
  <si>
    <t>Electro</t>
  </si>
  <si>
    <t>Electro Regisvines</t>
  </si>
  <si>
    <t>Beidou</t>
  </si>
  <si>
    <t>Electro Hypostases</t>
  </si>
  <si>
    <t>Noctilucous Jade</t>
  </si>
  <si>
    <t>Vajrada Amethyst (Electro)</t>
  </si>
  <si>
    <t>Cyno</t>
  </si>
  <si>
    <t>Scarab</t>
  </si>
  <si>
    <t>Fischl</t>
  </si>
  <si>
    <t>Small Lamp Grass</t>
  </si>
  <si>
    <t>Keqing</t>
  </si>
  <si>
    <t>Ring of Boreas</t>
  </si>
  <si>
    <t>Kujou Sara</t>
  </si>
  <si>
    <t>Thunder Manif.</t>
  </si>
  <si>
    <t>Ashen Heart</t>
  </si>
  <si>
    <t>Dendrobium</t>
  </si>
  <si>
    <t>Kuki Shinobu</t>
  </si>
  <si>
    <t>Naku Weed</t>
  </si>
  <si>
    <t>Lisa</t>
  </si>
  <si>
    <t>Dvalin's Claw</t>
  </si>
  <si>
    <t>Raiden Shogun</t>
  </si>
  <si>
    <t>Razor</t>
  </si>
  <si>
    <t>Yae Miko</t>
  </si>
  <si>
    <t>Geo</t>
  </si>
  <si>
    <t>Albedo</t>
  </si>
  <si>
    <t>Geo Hypostases</t>
  </si>
  <si>
    <t>Tusk of Monoceros Caeli</t>
  </si>
  <si>
    <t>Prithiva Topaz (Geo)</t>
  </si>
  <si>
    <t>Arataki Itto</t>
  </si>
  <si>
    <t>Golden Wolflords</t>
  </si>
  <si>
    <t>Gorou</t>
  </si>
  <si>
    <t>Sango Pearl</t>
  </si>
  <si>
    <t>Navia</t>
  </si>
  <si>
    <t>Equity</t>
  </si>
  <si>
    <t>Spring of the First Dewdrop</t>
  </si>
  <si>
    <t>Ningguang</t>
  </si>
  <si>
    <t>Glaze Lily</t>
  </si>
  <si>
    <t>Noelle</t>
  </si>
  <si>
    <t>Yun jin</t>
  </si>
  <si>
    <t>Zhongli</t>
  </si>
  <si>
    <t>Hydro</t>
  </si>
  <si>
    <t>Barbara</t>
  </si>
  <si>
    <t>Oceanid</t>
  </si>
  <si>
    <t>Philanemo Mushroom</t>
  </si>
  <si>
    <t>Varunada Lazurite (Hydro)</t>
  </si>
  <si>
    <t>Candace</t>
  </si>
  <si>
    <t>Henna Berry</t>
  </si>
  <si>
    <t>Furina</t>
  </si>
  <si>
    <t>Hydro Tulpas</t>
  </si>
  <si>
    <t>Lightless Mass</t>
  </si>
  <si>
    <t>Lakelight Lily</t>
  </si>
  <si>
    <t>Kamisato Ayato</t>
  </si>
  <si>
    <t>Hydro Hypostases</t>
  </si>
  <si>
    <t>Kokomi</t>
  </si>
  <si>
    <t>Mona</t>
  </si>
  <si>
    <t>Neuvillette</t>
  </si>
  <si>
    <t>Millennial Pearl Seahorses</t>
  </si>
  <si>
    <t>Lumitoile</t>
  </si>
  <si>
    <t>Nilou</t>
  </si>
  <si>
    <t>Padisarah</t>
  </si>
  <si>
    <t>Tartaglia</t>
  </si>
  <si>
    <t>Starconch</t>
  </si>
  <si>
    <t>Xinqiu</t>
  </si>
  <si>
    <t>Silk Flower</t>
  </si>
  <si>
    <t>Yelan</t>
  </si>
  <si>
    <t>Pyro</t>
  </si>
  <si>
    <t>Amber</t>
  </si>
  <si>
    <t>Pyro Regisvines</t>
  </si>
  <si>
    <t>Agnidus Agate (Pyro)</t>
  </si>
  <si>
    <t>Bennett</t>
  </si>
  <si>
    <t>Chevreuse</t>
  </si>
  <si>
    <t>Dehya</t>
  </si>
  <si>
    <t>Diluc</t>
  </si>
  <si>
    <t>Gaming</t>
  </si>
  <si>
    <t>Emperor of Fire and Iron</t>
  </si>
  <si>
    <t>Hu Tao</t>
  </si>
  <si>
    <t>Klee</t>
  </si>
  <si>
    <t>Lyney</t>
  </si>
  <si>
    <t>Rainbow Rose</t>
  </si>
  <si>
    <t>Thoma</t>
  </si>
  <si>
    <t>Pyro Hypostases</t>
  </si>
  <si>
    <t>Fluorescent Fungus</t>
  </si>
  <si>
    <t>Xiangling</t>
  </si>
  <si>
    <t>Xinyan</t>
  </si>
  <si>
    <t>Yanfei</t>
  </si>
  <si>
    <t>Yoimia</t>
  </si>
  <si>
    <t>Total</t>
  </si>
  <si>
    <t>Hero's Wits Collection Estimated Time Calculations</t>
  </si>
  <si>
    <t>Resin Replenishing Time</t>
  </si>
  <si>
    <t>per 8 Mintes</t>
  </si>
  <si>
    <t>Daily Resin</t>
  </si>
  <si>
    <t>Resins</t>
  </si>
  <si>
    <t>{60 Minutes / 8 Resin x 24 Hours}</t>
  </si>
  <si>
    <t>Layline Reward Collection Cost</t>
  </si>
  <si>
    <t>Daily Layline Reward Collection</t>
  </si>
  <si>
    <t>Times</t>
  </si>
  <si>
    <t>{Daily Resin / Collection Cost}</t>
  </si>
  <si>
    <t>Layline Book Rewards (Approx)</t>
  </si>
  <si>
    <t>Books</t>
  </si>
  <si>
    <t>Daily Books Collection (Approx)</t>
  </si>
  <si>
    <t>{Daily Reward Collection x Rewards per Clear}</t>
  </si>
  <si>
    <t>Days Needed for "Total Books" Collection</t>
  </si>
  <si>
    <t>Days</t>
  </si>
  <si>
    <t>{Remaining Books / Daily Mats Collection}</t>
  </si>
  <si>
    <t>Total Resin Needed</t>
  </si>
  <si>
    <t>{Daily Resin x Total Days Needed}</t>
  </si>
  <si>
    <t>Boss Name</t>
  </si>
  <si>
    <t>Mats Needed</t>
  </si>
  <si>
    <t>Mats Acquired</t>
  </si>
  <si>
    <t>Remaining Mats</t>
  </si>
  <si>
    <t>Estimated Time Calculations</t>
  </si>
  <si>
    <t>Boss Reward Collection Cost</t>
  </si>
  <si>
    <t>Daily Boss Reward Collection</t>
  </si>
  <si>
    <t>Boss Mats Rewards per Clear (Approx)</t>
  </si>
  <si>
    <t>Mats</t>
  </si>
  <si>
    <t>Daily Mats Collection (Approx)</t>
  </si>
  <si>
    <t>Days Needed for "Remaining Mats" Collection</t>
  </si>
  <si>
    <t>{Remaining Mats / Daily Mats Collection}</t>
  </si>
  <si>
    <t>Talent Books Calculations</t>
  </si>
  <si>
    <t>Books Needed</t>
  </si>
  <si>
    <t>Books Acquired</t>
  </si>
  <si>
    <t>Remaining Books</t>
  </si>
  <si>
    <t>Book Region</t>
  </si>
  <si>
    <t>Book name</t>
  </si>
  <si>
    <t>Book Rarity</t>
  </si>
  <si>
    <r>
      <t>4*</t>
    </r>
    <r>
      <rPr>
        <sz val="11"/>
        <color theme="4"/>
        <rFont val="Calibri"/>
        <family val="2"/>
        <scheme val="minor"/>
      </rPr>
      <t>2</t>
    </r>
  </si>
  <si>
    <r>
      <t>3*</t>
    </r>
    <r>
      <rPr>
        <sz val="11"/>
        <color theme="4"/>
        <rFont val="Calibri"/>
        <family val="2"/>
        <scheme val="minor"/>
      </rPr>
      <t>3</t>
    </r>
  </si>
  <si>
    <r>
      <t>2*</t>
    </r>
    <r>
      <rPr>
        <sz val="11"/>
        <color theme="4"/>
        <rFont val="Calibri"/>
        <family val="2"/>
        <scheme val="minor"/>
      </rPr>
      <t>4</t>
    </r>
  </si>
  <si>
    <r>
      <t>4*</t>
    </r>
    <r>
      <rPr>
        <sz val="11"/>
        <color theme="4"/>
        <rFont val="Calibri"/>
        <family val="2"/>
        <scheme val="minor"/>
      </rPr>
      <t>5</t>
    </r>
  </si>
  <si>
    <r>
      <t>3*</t>
    </r>
    <r>
      <rPr>
        <sz val="11"/>
        <color theme="4"/>
        <rFont val="Calibri"/>
        <family val="2"/>
        <scheme val="minor"/>
      </rPr>
      <t>6</t>
    </r>
  </si>
  <si>
    <r>
      <t>2*</t>
    </r>
    <r>
      <rPr>
        <sz val="11"/>
        <color theme="4"/>
        <rFont val="Calibri"/>
        <family val="2"/>
        <scheme val="minor"/>
      </rPr>
      <t>7</t>
    </r>
  </si>
  <si>
    <t>Mondstadt</t>
  </si>
  <si>
    <t>Liyue</t>
  </si>
  <si>
    <t>Inazuma</t>
  </si>
  <si>
    <t>Sumeru</t>
  </si>
  <si>
    <t>Fontain</t>
  </si>
  <si>
    <t>Experiment with 180 Resins</t>
  </si>
  <si>
    <t>1st Clear</t>
  </si>
  <si>
    <t>4 Star Materials Drop</t>
  </si>
  <si>
    <t>3 Star Materials Drop</t>
  </si>
  <si>
    <t>2 Star Materials Drop</t>
  </si>
  <si>
    <t>2nd Clear</t>
  </si>
  <si>
    <t>3rd Clear</t>
  </si>
  <si>
    <t>Domain Reward Collection Cost</t>
  </si>
  <si>
    <t>4th Clear</t>
  </si>
  <si>
    <t>Daily Domain Reward Collection</t>
  </si>
  <si>
    <t>5th Clear</t>
  </si>
  <si>
    <t>Domain Mats Rewards per Clear (Approx)</t>
  </si>
  <si>
    <t>6th Clear</t>
  </si>
  <si>
    <t>7th Clear</t>
  </si>
  <si>
    <t>8th Clear</t>
  </si>
  <si>
    <t>Average Days Needed</t>
  </si>
  <si>
    <t>9th Clear</t>
  </si>
  <si>
    <t>[Azdaha] Beneath the Dragon-Queller</t>
  </si>
  <si>
    <t>[Childe] Golden House</t>
  </si>
  <si>
    <t>[Raiden] Guardian of Eternity</t>
  </si>
  <si>
    <t>[Scaramouche] Shouki no Kami</t>
  </si>
  <si>
    <t>All-Devouring Narwhal</t>
  </si>
  <si>
    <t>Guardian of Apep's Oasis</t>
  </si>
  <si>
    <t>Weekly Boss Reward Collection</t>
  </si>
  <si>
    <t>Weekly Mats Collection (Approx)</t>
  </si>
  <si>
    <t>{Weekly Reward Collection x Rewards per Clear}</t>
  </si>
  <si>
    <t>Weeks Needed for "Remaining Mats" Collection</t>
  </si>
  <si>
    <t>Weeks</t>
  </si>
  <si>
    <t>In Days</t>
  </si>
  <si>
    <t>{Week needed for collection x 7 days}</t>
  </si>
  <si>
    <t>{9 Times Clear Resin Cost (450) x Total Weeks Needed}</t>
  </si>
  <si>
    <t>Ascension Flower</t>
  </si>
  <si>
    <t>Flowers Needed</t>
  </si>
  <si>
    <t>Flowers Acquired</t>
  </si>
  <si>
    <t>Remaining Flowers</t>
  </si>
  <si>
    <t>Stone Type</t>
  </si>
  <si>
    <t>Stones
Needed</t>
  </si>
  <si>
    <t>Stones Acquired</t>
  </si>
  <si>
    <t>Remaining Stones</t>
  </si>
  <si>
    <t>Material Name</t>
  </si>
  <si>
    <t>Mats
Needed</t>
  </si>
  <si>
    <t>Mats
Acquired</t>
  </si>
  <si>
    <t>Sli­me Con­den­sate (1*)</t>
  </si>
  <si>
    <t>Slime Secretions (2*)</t>
  </si>
  <si>
    <t>Sli­me Con­cen­trate (3*)</t>
  </si>
  <si>
    <t>Damaged Mask (1*)</t>
  </si>
  <si>
    <t>Stained Mask (2*)</t>
  </si>
  <si>
    <t>Ominous Mask (3*)</t>
  </si>
  <si>
    <t>Divining Scroll (1*)</t>
  </si>
  <si>
    <t>Sealed Scroll (2*)</t>
  </si>
  <si>
    <t>Forbidden Curse Scroll (3*)</t>
  </si>
  <si>
    <t>Firm Arrowhead (1*)</t>
  </si>
  <si>
    <t>Sharp Arrowhead (2*)</t>
  </si>
  <si>
    <t>Weathered Arrowhead (3*)</t>
  </si>
  <si>
    <t>Recruit's Insignia (1*)</t>
  </si>
  <si>
    <t>Sergeant's Insignia (2*)</t>
  </si>
  <si>
    <t>Lieutenant's Insignia (3*)</t>
  </si>
  <si>
    <t>Treasure Hoarder Insignia (1*)</t>
  </si>
  <si>
    <t>Silver Raven Insignia (2*)</t>
  </si>
  <si>
    <t>Golden Raven Insignia (3*)</t>
  </si>
  <si>
    <t>Whopper­flower Necta (1*)</t>
  </si>
  <si>
    <t>Shimmering Nectar (2*)</t>
  </si>
  <si>
    <t>Energy Nectar (3*)</t>
  </si>
  <si>
    <t>Old Handguard (1*)</t>
  </si>
  <si>
    <t>Kageuchi Handguard (2*)</t>
  </si>
  <si>
    <t>Famed Handguard (3*)</t>
  </si>
  <si>
    <t>Spectral Husk (1*)</t>
  </si>
  <si>
    <t>Spectral Heart (2*)</t>
  </si>
  <si>
    <t>Spectral Nucleus (3*)</t>
  </si>
  <si>
    <t>Fungal Spores (1*)</t>
  </si>
  <si>
    <t>Luminescent Pollen (2*)</t>
  </si>
  <si>
    <t>Crystalline Cyst Dust (3*)</t>
  </si>
  <si>
    <t>Faded Red Satin (1*)</t>
  </si>
  <si>
    <t>Trimmed Red Silk (2*)</t>
  </si>
  <si>
    <t>Rich Red Brocade (3*)</t>
  </si>
  <si>
    <t>Trans­ocean­ic Pearl (1*)</t>
  </si>
  <si>
    <t>Trans­ocean­ic Chunk (2*)</t>
  </si>
  <si>
    <t>Xeno­chrom­at­ic Cryst­al (3*)</t>
  </si>
  <si>
    <t>Meshing Gear (1*)</t>
  </si>
  <si>
    <t>Mechanical Spur Gear (2*)</t>
  </si>
  <si>
    <t>Trishiraite</t>
  </si>
  <si>
    <t>Artificed Dynamic Gear (3*)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</si>
</sst>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1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8" xfId="0" applyFont="1" applyBorder="1"/>
    <xf numFmtId="0" fontId="0" fillId="0" borderId="8" xfId="0" applyBorder="1"/>
    <xf numFmtId="1" fontId="1" fillId="0" borderId="0" xfId="0" applyNumberFormat="1" applyFont="1" applyAlignment="1">
      <alignment horizontal="right" vertical="center"/>
    </xf>
    <xf numFmtId="0" fontId="0" fillId="0" borderId="5" xfId="0" applyBorder="1"/>
    <xf numFmtId="0" fontId="0" fillId="0" borderId="7" xfId="0" applyBorder="1"/>
    <xf numFmtId="0" fontId="10" fillId="0" borderId="6" xfId="0" applyFont="1" applyBorder="1"/>
    <xf numFmtId="0" fontId="0" fillId="0" borderId="3" xfId="0" applyBorder="1"/>
    <xf numFmtId="0" fontId="7" fillId="2" borderId="13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14" xfId="0" applyFont="1" applyFill="1" applyBorder="1"/>
    <xf numFmtId="0" fontId="11" fillId="0" borderId="14" xfId="0" applyFont="1" applyBorder="1" applyAlignment="1">
      <alignment horizontal="center"/>
    </xf>
    <xf numFmtId="1" fontId="0" fillId="0" borderId="15" xfId="0" applyNumberFormat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" fontId="0" fillId="4" borderId="14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" fontId="0" fillId="6" borderId="14" xfId="0" applyNumberForma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1" fontId="0" fillId="7" borderId="14" xfId="0" applyNumberForma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vertical="center"/>
    </xf>
    <xf numFmtId="0" fontId="9" fillId="0" borderId="8" xfId="0" applyFont="1" applyBorder="1"/>
    <xf numFmtId="0" fontId="9" fillId="0" borderId="9" xfId="0" applyFont="1" applyBorder="1"/>
    <xf numFmtId="2" fontId="1" fillId="0" borderId="0" xfId="0" applyNumberFormat="1" applyFont="1"/>
    <xf numFmtId="0" fontId="1" fillId="0" borderId="0" xfId="0" applyFont="1"/>
    <xf numFmtId="1" fontId="1" fillId="0" borderId="8" xfId="0" applyNumberFormat="1" applyFont="1" applyBorder="1"/>
    <xf numFmtId="0" fontId="9" fillId="0" borderId="0" xfId="0" applyFon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1" fontId="0" fillId="0" borderId="1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9" xfId="0" applyBorder="1"/>
    <xf numFmtId="1" fontId="0" fillId="0" borderId="0" xfId="0" applyNumberFormat="1" applyAlignment="1">
      <alignment vertical="center"/>
    </xf>
    <xf numFmtId="1" fontId="0" fillId="0" borderId="5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8" xfId="0" applyNumberFormat="1" applyBorder="1"/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9" fillId="0" borderId="0" xfId="0" applyFont="1"/>
    <xf numFmtId="0" fontId="9" fillId="0" borderId="6" xfId="0" applyFont="1" applyBorder="1"/>
    <xf numFmtId="0" fontId="5" fillId="2" borderId="16" xfId="0" applyFont="1" applyFill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/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6" xfId="0" applyFont="1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206"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numFmt numFmtId="1" formatCode="0"/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outline="0">
        <left style="thin">
          <color rgb="FF000000"/>
        </left>
        <right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BB7FF"/>
      <color rgb="FFFFBDBD"/>
      <color rgb="FFB6DBFC"/>
      <color rgb="FFBF90E6"/>
      <color rgb="FFFFA3A3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F8660-662A-46FF-93BA-D65807617CAE}" name="Summary" displayName="Summary" ref="A2:BC88" totalsRowCount="1" headerRowDxfId="205" dataDxfId="204">
  <autoFilter ref="A2:BC87" xr:uid="{C78F8660-662A-46FF-93BA-D65807617CAE}"/>
  <sortState xmlns:xlrd2="http://schemas.microsoft.com/office/spreadsheetml/2017/richdata2" ref="A3:BC87">
    <sortCondition ref="B2:B87"/>
  </sortState>
  <tableColumns count="55">
    <tableColumn id="1" xr3:uid="{165FA4B1-7A26-4FCA-946E-07136EE4C982}" name="Sl No." dataDxfId="203" totalsRowDxfId="54">
      <calculatedColumnFormula>SUBTOTAL(3,$B$3:B3)</calculatedColumnFormula>
    </tableColumn>
    <tableColumn id="2" xr3:uid="{408533FD-B896-43C5-8737-974000FE9AB8}" name="Name" dataDxfId="202" totalsRowDxfId="53"/>
    <tableColumn id="3" xr3:uid="{C5F225A7-AF2C-422C-A785-3623D91F05D4}" name="Element" dataDxfId="201" totalsRowDxfId="52"/>
    <tableColumn id="4" xr3:uid="{1A3CE03C-F90B-4372-8546-7A2C8B6F5631}" name="Level" dataDxfId="200" totalsRowDxfId="51"/>
    <tableColumn id="5" xr3:uid="{677A34BE-B4DC-414C-945A-755340C23696}" name="NA" dataDxfId="199" totalsRowDxfId="50"/>
    <tableColumn id="6" xr3:uid="{EB7BD272-ECB3-4791-8CAE-60CE602CC59F}" name="Skill" dataDxfId="198" totalsRowDxfId="49"/>
    <tableColumn id="7" xr3:uid="{78414B97-D993-4F62-9B93-59DC3EA37923}" name="Burst" dataDxfId="197" totalsRowDxfId="48"/>
    <tableColumn id="8" xr3:uid="{1FAB50CD-E41D-46D9-90E5-C3AA663A0673}" name="World Boss Name" totalsRowLabel="Total" dataDxfId="196" totalsRowDxfId="47"/>
    <tableColumn id="9" xr3:uid="{6E235CE2-48DA-450A-BCD4-B4C4F49E8F14}" name="Mats Need" totalsRowFunction="sum" dataDxfId="195" totalsRowDxfId="46">
      <calculatedColumnFormula>(IF(D3&lt;=40,"46",IF(D3&lt;=50,"44",IF(D3&lt;=60,"40",IF(D3&lt;=70,"32",IF(D3&lt;=80,"20","0"))))))+0</calculatedColumnFormula>
    </tableColumn>
    <tableColumn id="10" xr3:uid="{6D9CFDD1-3865-473B-B611-9F94A2FCCF7C}" name="Hero's Wits" totalsRowFunction="sum" dataDxfId="194" totalsRowDxfId="45">
      <calculatedColumnFormula>(IF(D3&lt;=1,"419",IF(D3&lt;=10,"417",IF(D3&lt;=20,"413",IF(D3&lt;=30,"402",IF(D3&lt;=40,"384",IF(D3&lt;=50,"355",IF(D3&lt;=60,"312",IF(D3&lt;=70,"252",IF(D3&lt;=80,"172",0))))))))))+0</calculatedColumnFormula>
    </tableColumn>
    <tableColumn id="11" xr3:uid="{5A53184A-E9EE-402D-ABE8-FFFD41746D3B}" name="Book Name" totalsRowLabel="Total" dataDxfId="193" totalsRowDxfId="44"/>
    <tableColumn id="12" xr3:uid="{DF693418-A428-40C1-9F75-A15775F48440}" name="4* Book" totalsRowFunction="sum" dataDxfId="192" totalsRowDxfId="43">
      <calculatedColumnFormula>O3+R3+U3</calculatedColumnFormula>
    </tableColumn>
    <tableColumn id="13" xr3:uid="{961D8BAA-BABC-4148-BCA9-FFE12BF5F741}" name="3* Book" totalsRowFunction="sum" dataDxfId="191" totalsRowDxfId="42">
      <calculatedColumnFormula>P3+S3+V3</calculatedColumnFormula>
    </tableColumn>
    <tableColumn id="14" xr3:uid="{907ADCC3-FC63-4741-B036-A22BCD071410}" name="2* Book" totalsRowFunction="sum" dataDxfId="190" totalsRowDxfId="41">
      <calculatedColumnFormula>Q3+T3+W3</calculatedColumnFormula>
    </tableColumn>
    <tableColumn id="15" xr3:uid="{9AAD3B5E-6F4B-44FE-874C-27722EE9DAE5}" name="4*" totalsRowFunction="sum" dataDxfId="189" totalsRowDxfId="40">
      <calculatedColumnFormula>(IF(E3&lt;=6,"22",IF(E3&lt;=7,"18",IF(E3&lt;=8,"12",0))))+0</calculatedColumnFormula>
    </tableColumn>
    <tableColumn id="16" xr3:uid="{5A3EADE3-09BC-4FBF-8C05-F9204BACD63F}" name="3*" totalsRowFunction="sum" dataDxfId="188" totalsRowDxfId="39">
      <calculatedColumnFormula>(IF(E3&lt;=2,"21",IF(E3&lt;=3,"19",IF(E3&lt;=4,"15",IF(E3&lt;=5,"9",0)))))+0</calculatedColumnFormula>
    </tableColumn>
    <tableColumn id="17" xr3:uid="{59FA2134-1D94-4253-BAFB-F6040B43C734}" name="2*" totalsRowFunction="sum" dataDxfId="187" totalsRowDxfId="38">
      <calculatedColumnFormula>(IF(E3&lt;=1,"3",0))+0</calculatedColumnFormula>
    </tableColumn>
    <tableColumn id="18" xr3:uid="{D3528C4E-021C-4F5F-947C-D6D779859E5E}" name="4*2" totalsRowFunction="sum" dataDxfId="186" totalsRowDxfId="37">
      <calculatedColumnFormula>(IF(F3&lt;=6,"22",IF(F3&lt;=7,"18",IF(F3&lt;=8,"12",0))))+0</calculatedColumnFormula>
    </tableColumn>
    <tableColumn id="19" xr3:uid="{C0C947C8-6F24-461F-96D7-E0B6E3359C02}" name="3*3" totalsRowFunction="sum" dataDxfId="185" totalsRowDxfId="36">
      <calculatedColumnFormula>(IF(F3&lt;=2,"21",IF(F3&lt;=3,"19",IF(F3&lt;=4,"15",IF(F3&lt;=5,"9",0)))))+0</calculatedColumnFormula>
    </tableColumn>
    <tableColumn id="20" xr3:uid="{0D3A9479-9E83-4E16-BF91-FADAC28C64BB}" name="2*4" totalsRowFunction="sum" dataDxfId="184" totalsRowDxfId="35">
      <calculatedColumnFormula>(IF(F3&lt;=1,"3",0))+0</calculatedColumnFormula>
    </tableColumn>
    <tableColumn id="21" xr3:uid="{3A43721F-41D4-4EAC-ACB6-43444E0E4CB4}" name="4*5" totalsRowFunction="sum" dataDxfId="183" totalsRowDxfId="34">
      <calculatedColumnFormula>(IF(G3&lt;=6,"22",IF(G3&lt;=7,"18",IF(G3&lt;=8,"12",0))))+0</calculatedColumnFormula>
    </tableColumn>
    <tableColumn id="22" xr3:uid="{731B53D1-54F8-44C9-AF1B-217CDB55E216}" name="3*6" totalsRowFunction="sum" dataDxfId="182" totalsRowDxfId="33">
      <calculatedColumnFormula>(IF(G3&lt;=2,"21",IF(G3&lt;=3,"19",IF(G3&lt;=4,"15",IF(G3&lt;=5,"9",0)))))+0</calculatedColumnFormula>
    </tableColumn>
    <tableColumn id="23" xr3:uid="{27B0B138-E2FA-41B3-B6C3-A5EFBEEB3DFF}" name="2*7" totalsRowFunction="sum" dataDxfId="181" totalsRowDxfId="32">
      <calculatedColumnFormula>(IF(G3&lt;=1,"3",0))+0</calculatedColumnFormula>
    </tableColumn>
    <tableColumn id="24" xr3:uid="{797EA3E4-9B77-4CF4-B0B8-FD221C2314A0}" name="Weekly Boss Name" dataDxfId="180" totalsRowDxfId="31"/>
    <tableColumn id="25" xr3:uid="{92B96552-3767-46A7-9DDA-842D57BA6D24}" name="Mats Name" totalsRowLabel="Total" dataDxfId="179" totalsRowDxfId="30"/>
    <tableColumn id="26" xr3:uid="{6DFD3CA6-263D-427F-9F95-23669DA80771}" name="NA9" totalsRowFunction="sum" dataDxfId="178" totalsRowDxfId="29">
      <calculatedColumnFormula>(IF(E3&lt;=6,"4",IF(E3&lt;=7,"3",IF(E3&lt;=8,"2","0"))))+0</calculatedColumnFormula>
    </tableColumn>
    <tableColumn id="27" xr3:uid="{6B2841E5-0C39-42C2-9C8C-F1CE7F79B01F}" name="Skill10" totalsRowFunction="sum" dataDxfId="177" totalsRowDxfId="28">
      <calculatedColumnFormula>(IF(F3&lt;=6,"4",IF(F3&lt;=7,"3",IF(F3&lt;=8,"2","0"))))+0</calculatedColumnFormula>
    </tableColumn>
    <tableColumn id="28" xr3:uid="{C89D28DB-6982-403E-B5E3-D21BBF05835F}" name="Burst11" totalsRowFunction="sum" dataDxfId="176" totalsRowDxfId="27">
      <calculatedColumnFormula>(IF(G3&lt;=6,"4",IF(G3&lt;=7,"3",IF(G3&lt;=8,"2","0"))))+0</calculatedColumnFormula>
    </tableColumn>
    <tableColumn id="29" xr3:uid="{3F545469-FB17-4E8B-BC46-A9B61C1A1794}" name="Mats Qty" totalsRowFunction="sum" dataDxfId="175" totalsRowDxfId="26">
      <calculatedColumnFormula>SUM(Z3:AB3)</calculatedColumnFormula>
    </tableColumn>
    <tableColumn id="30" xr3:uid="{52AB1803-5CCE-4AA1-A67C-045B5490B0E0}" name="Flower Name" totalsRowLabel="Total" dataDxfId="174" totalsRowDxfId="25"/>
    <tableColumn id="31" xr3:uid="{535E13B8-117F-46C8-AD95-CD337258D616}" name="Quantity" totalsRowFunction="sum" dataDxfId="173" totalsRowDxfId="24">
      <calculatedColumnFormula>IF($D3&lt;=20,"168",IF($D3&lt;=30,"165",IF($D3&lt;=50,"155",IF($D3&lt;=60,"135",IF($D3&lt;=70,"105",IF($D3&lt;=80,"60","0"))))))+0</calculatedColumnFormula>
    </tableColumn>
    <tableColumn id="32" xr3:uid="{A3FA6C96-2F09-417B-AA45-75D83468EFB1}" name="Stone Name" totalsRowLabel="Total" dataDxfId="172" totalsRowDxfId="23"/>
    <tableColumn id="41" xr3:uid="{A6A975E1-FCD1-4825-8534-FB8C1C1648AD}" name="Gemstone" totalsRowFunction="sum" dataDxfId="171" totalsRowDxfId="22">
      <calculatedColumnFormula>IF($D3&lt;=80,"6","0")+0</calculatedColumnFormula>
    </tableColumn>
    <tableColumn id="33" xr3:uid="{5742812C-B66A-4C8A-A620-ACA3D4CB5CFF}" name="Chunk" totalsRowFunction="sum" dataDxfId="170" totalsRowDxfId="21">
      <calculatedColumnFormula>IF($D3&lt;=60,"9",IF($D3&lt;=70,"6","0"))+0</calculatedColumnFormula>
    </tableColumn>
    <tableColumn id="34" xr3:uid="{B0F3B57B-C788-4972-A103-5BFE4B22DD51}" name="Fragment" totalsRowFunction="sum" dataDxfId="169" totalsRowDxfId="20">
      <calculatedColumnFormula>IF($D3&lt;=40,"9",IF($D3&lt;=50,"6","0"))+0</calculatedColumnFormula>
    </tableColumn>
    <tableColumn id="40" xr3:uid="{CD56FCF4-0129-4AFC-948E-F91A908A2469}" name="Silver" totalsRowFunction="sum" dataDxfId="168" totalsRowDxfId="19">
      <calculatedColumnFormula>(IF($D3&lt;=20,"1","0"))+0</calculatedColumnFormula>
    </tableColumn>
    <tableColumn id="36" xr3:uid="{1572838B-DF58-4C54-B879-3D0BDDB8B3EE}" name="Mob Name" totalsRowLabel="Total" dataDxfId="167" totalsRowDxfId="18"/>
    <tableColumn id="37" xr3:uid="{94C38A61-DB17-40BB-88DA-2D7892DC83F8}" name="3* (Asc)" totalsRowFunction="sum" dataDxfId="166" totalsRowDxfId="17">
      <calculatedColumnFormula>IF($D3&lt;=70,"36",IF($D3&lt;=80,"24","0"))+0</calculatedColumnFormula>
    </tableColumn>
    <tableColumn id="38" xr3:uid="{993CF5FE-5F41-4FF3-8E4A-6C7F0B1D8C0D}" name="2* (Asc)" totalsRowFunction="sum" dataDxfId="165" totalsRowDxfId="16">
      <calculatedColumnFormula>IF($D3&lt;=50,"30",IF($D3&lt;=60,"18","0"))+0</calculatedColumnFormula>
    </tableColumn>
    <tableColumn id="39" xr3:uid="{B614EBD2-B4BC-4606-BF92-CFB4DC95EB61}" name="1* (Asc)" totalsRowFunction="sum" dataDxfId="164" totalsRowDxfId="15">
      <calculatedColumnFormula>IF($D3&lt;=20,"18",IF($D3&lt;=40,"15","0"))+0</calculatedColumnFormula>
    </tableColumn>
    <tableColumn id="35" xr3:uid="{77B5F47C-8B57-4E5C-BE6D-B02C4D266687}" name="3* (Tal)" totalsRowFunction="sum" dataDxfId="163" totalsRowDxfId="14">
      <calculatedColumnFormula>Summary[[#This Row],[3*2]]+Summary[[#This Row],[3*22]]+Summary[[#This Row],[3*23]]</calculatedColumnFormula>
    </tableColumn>
    <tableColumn id="42" xr3:uid="{949ED14B-C51D-4CDF-B8CB-78CEB7C70F37}" name="2* (Tal)" totalsRowFunction="sum" dataDxfId="162" totalsRowDxfId="13">
      <calculatedColumnFormula>Summary[[#This Row],[2*2]]+Summary[[#This Row],[2*23]]+Summary[[#This Row],[2*24]]</calculatedColumnFormula>
    </tableColumn>
    <tableColumn id="43" xr3:uid="{F4355A78-1E66-4B39-B83E-1F2DCAD8147B}" name="1* (Tal)" totalsRowFunction="sum" dataDxfId="161" totalsRowDxfId="12">
      <calculatedColumnFormula>Summary[[#This Row],[1*2]]+Summary[[#This Row],[1*24]]+Summary[[#This Row],[1*25]]</calculatedColumnFormula>
    </tableColumn>
    <tableColumn id="47" xr3:uid="{98F97F7C-B2CD-49CB-8C6D-83155D3AA7E6}" name="3*2" totalsRowFunction="sum" dataDxfId="160" totalsRowDxfId="11">
      <calculatedColumnFormula>(IF($E3&lt;=6,"19",IF($E3&lt;=7,"18",IF($E3&lt;=8,"9",0)))+0)</calculatedColumnFormula>
    </tableColumn>
    <tableColumn id="48" xr3:uid="{A489BE8E-F075-40B4-8453-36CBAAA91044}" name="2*2" totalsRowFunction="sum" dataDxfId="159" totalsRowDxfId="10">
      <calculatedColumnFormula>(IF($E3&lt;=2,"22",IF($E3&lt;=3,"19",IF($E3&lt;=4,"15",IF($E3&lt;=5,"9",0)))))+0</calculatedColumnFormula>
    </tableColumn>
    <tableColumn id="49" xr3:uid="{7549B376-AD40-427A-8F92-E8EFCCB9268F}" name="1*2" totalsRowFunction="sum" dataDxfId="158" totalsRowDxfId="9">
      <calculatedColumnFormula>(IF($E3&lt;=1,"6",0))+0</calculatedColumnFormula>
    </tableColumn>
    <tableColumn id="50" xr3:uid="{EE5400E7-94E1-495C-9900-9D4190B57FEA}" name="3*22" totalsRowFunction="sum" dataDxfId="157" totalsRowDxfId="8">
      <calculatedColumnFormula>(IF($F3&lt;=6,"19",IF($F3&lt;=7,"18",IF($F3&lt;=8,"9",0)))+0)</calculatedColumnFormula>
    </tableColumn>
    <tableColumn id="51" xr3:uid="{FDE0FCB6-1DB0-4A89-B608-248D26159BC6}" name="2*23" totalsRowFunction="sum" dataDxfId="156" totalsRowDxfId="7">
      <calculatedColumnFormula>(IF($F3&lt;=2,"22",IF($F3&lt;=3,"19",IF($F3&lt;=4,"15",IF($F3&lt;=5,"9",0)))))+0</calculatedColumnFormula>
    </tableColumn>
    <tableColumn id="52" xr3:uid="{1A623D0E-5CE2-44F3-9C25-1BA0DAE2182A}" name="1*24" totalsRowFunction="sum" dataDxfId="155" totalsRowDxfId="6">
      <calculatedColumnFormula>(IF($F3&lt;=1,"6",0))+0</calculatedColumnFormula>
    </tableColumn>
    <tableColumn id="53" xr3:uid="{E2A54F05-49D5-4EAA-8964-2CE6907B5074}" name="3*23" totalsRowFunction="sum" dataDxfId="154" totalsRowDxfId="5">
      <calculatedColumnFormula>(IF($G3&lt;=6,"19",IF($G3&lt;=7,"18",IF($G3&lt;=8,"9",0)))+0)</calculatedColumnFormula>
    </tableColumn>
    <tableColumn id="54" xr3:uid="{B97A3D37-002D-404A-B7B9-57F3CBD68708}" name="2*24" totalsRowFunction="sum" dataDxfId="153" totalsRowDxfId="4">
      <calculatedColumnFormula>(IF($G3&lt;=2,"22",IF($G3&lt;=3,"19",IF($G3&lt;=4,"15",IF($G3&lt;=5,"9",0)))))+0</calculatedColumnFormula>
    </tableColumn>
    <tableColumn id="55" xr3:uid="{A2BF6BF5-B1CA-4779-A76B-17E8B1C874A4}" name="1*25" totalsRowFunction="sum" dataDxfId="152" totalsRowDxfId="3">
      <calculatedColumnFormula>(IF($G3&lt;=1,"6",0))+0</calculatedColumnFormula>
    </tableColumn>
    <tableColumn id="44" xr3:uid="{E1F7A317-5753-480E-B138-860E406C9D84}" name="3* Mats" totalsRowFunction="sum" dataDxfId="151" totalsRowDxfId="2">
      <calculatedColumnFormula>SUM(Summary[[#This Row],[3* (Tal)]],Summary[[#This Row],[3* (Asc)]])</calculatedColumnFormula>
    </tableColumn>
    <tableColumn id="45" xr3:uid="{7F261737-1F33-4778-BE56-64244D3004F5}" name="2* Mats" totalsRowFunction="sum" dataDxfId="150" totalsRowDxfId="1">
      <calculatedColumnFormula>SUM(Summary[[#This Row],[2* (Tal)]],Summary[[#This Row],[2* (Asc)]])</calculatedColumnFormula>
    </tableColumn>
    <tableColumn id="46" xr3:uid="{E908F31C-FB89-4D54-AA20-470C96778A21}" name="1* Mats" totalsRowFunction="sum" dataDxfId="149" totalsRowDxfId="0">
      <calculatedColumnFormula>SUM(Summary[[#This Row],[1* (Tal)]],Summary[[#This Row],[1* (Asc)]])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7DE17C-8D7E-4333-9E2F-9129AB786FA7}" name="World_Boss" displayName="World_Boss" ref="A1:E32" totalsRowCount="1" headerRowDxfId="148" dataDxfId="147">
  <autoFilter ref="A1:E31" xr:uid="{75761221-EEEE-4308-995F-040E07A72874}">
    <filterColumn colId="2">
      <filters>
        <filter val="124"/>
        <filter val="132"/>
        <filter val="20"/>
        <filter val="202"/>
        <filter val="40"/>
        <filter val="46"/>
        <filter val="92"/>
      </filters>
    </filterColumn>
  </autoFilter>
  <sortState xmlns:xlrd2="http://schemas.microsoft.com/office/spreadsheetml/2017/richdata2" ref="A3:E31">
    <sortCondition ref="B1:B31"/>
  </sortState>
  <tableColumns count="5">
    <tableColumn id="1" xr3:uid="{100EA993-FA4F-47D1-A56D-9C7CB1E50869}" name="Sl No." totalsRowLabel="Total" dataDxfId="146" totalsRowDxfId="145">
      <calculatedColumnFormula>SUBTOTAL(3,$B$2:B2)</calculatedColumnFormula>
    </tableColumn>
    <tableColumn id="2" xr3:uid="{CE78B17E-A0A1-40CF-B5A0-BAC11C1E73B4}" name="Boss Name" dataDxfId="144" totalsRowDxfId="143"/>
    <tableColumn id="3" xr3:uid="{736FF383-833A-41BE-80BC-05287188C2E3}" name="Mats Needed" totalsRowFunction="sum" dataDxfId="142" totalsRowDxfId="141">
      <calculatedColumnFormula>SUMIF(Summary!$H$3:$H$87,'World Boss Mats'!B2,Summary!$I$3:$I$87)</calculatedColumnFormula>
    </tableColumn>
    <tableColumn id="4" xr3:uid="{72A3CB5D-0DFF-473E-A9CA-C382695C0795}" name="Mats Acquired" totalsRowFunction="sum" dataDxfId="140" totalsRowDxfId="139"/>
    <tableColumn id="5" xr3:uid="{8F190CE4-749D-4ED5-8194-9710BCFE4279}" name="Remaining Mats" totalsRowFunction="custom" dataDxfId="138" totalsRowDxfId="137">
      <calculatedColumnFormula>C2-D2</calculatedColumnFormula>
      <totalsRowFormula>SUMIF(E2:E31,"&gt;=0")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118A6-159A-4FBD-B4FB-632CECCE43B9}" name="Talent_Books" displayName="Talent_Books" ref="A4:L21" totalsRowCount="1" headerRowDxfId="136" dataDxfId="134" headerRowBorderDxfId="135" tableBorderDxfId="133">
  <autoFilter ref="A4:L20" xr:uid="{6D9118A6-159A-4FBD-B4FB-632CECCE43B9}"/>
  <tableColumns count="12">
    <tableColumn id="1" xr3:uid="{AAA4A7E4-B9F5-4F75-ABA8-F21690018EA9}" name="Sl No." totalsRowLabel="Total" dataDxfId="132" totalsRowDxfId="131"/>
    <tableColumn id="2" xr3:uid="{78FA7F45-740E-4EF8-BDEC-5978699DFEB3}" name="Book Region" dataDxfId="130" totalsRowDxfId="129"/>
    <tableColumn id="3" xr3:uid="{848E969F-1F78-4291-9F3E-8FE3C036CF09}" name="Book name" dataDxfId="128" totalsRowDxfId="127"/>
    <tableColumn id="4" xr3:uid="{40F4725D-358F-4B6F-B580-1492C9F45E95}" name="4*" totalsRowFunction="sum" dataDxfId="126" totalsRowDxfId="125">
      <calculatedColumnFormula>SUMIF(Summary!$K$3:$K$87,'Talent Books'!C5,Summary!$L$3:$L$87)</calculatedColumnFormula>
    </tableColumn>
    <tableColumn id="5" xr3:uid="{F2A14402-8AC1-4401-B0B1-45A5E759C80E}" name="3*" totalsRowFunction="sum" dataDxfId="124" totalsRowDxfId="123">
      <calculatedColumnFormula>SUMIF(Summary!$K$3:$K$87,'Talent Books'!C5,Summary!$M$3:$M$87)</calculatedColumnFormula>
    </tableColumn>
    <tableColumn id="6" xr3:uid="{06ACA8D3-4AE5-4828-AD0D-4FF0D624F3DA}" name="2*" totalsRowFunction="sum" dataDxfId="122" totalsRowDxfId="121">
      <calculatedColumnFormula>SUMIF(Summary!$K$3:$K$87,'Talent Books'!C5,Summary!$N$3:$N$87)</calculatedColumnFormula>
    </tableColumn>
    <tableColumn id="7" xr3:uid="{9B3F32CF-7532-4D42-A127-BA137803F7CC}" name="4*2" totalsRowFunction="sum" dataDxfId="120" totalsRowDxfId="119"/>
    <tableColumn id="8" xr3:uid="{72AFA39A-5EAC-48E2-AE40-06E58B34C1AD}" name="3*3" totalsRowFunction="sum" dataDxfId="118" totalsRowDxfId="117"/>
    <tableColumn id="9" xr3:uid="{6A9267B2-6490-4215-B346-F474A9C0EFF9}" name="2*4" totalsRowFunction="sum" dataDxfId="116" totalsRowDxfId="115"/>
    <tableColumn id="10" xr3:uid="{E6D5A6EE-DED9-4553-B39F-06B0B5C5373B}" name="4*5" totalsRowFunction="custom" dataDxfId="114" totalsRowDxfId="113">
      <calculatedColumnFormula>D5-G5</calculatedColumnFormula>
      <totalsRowFormula>SUMIF(J5:J20,"&gt;=0")</totalsRowFormula>
    </tableColumn>
    <tableColumn id="11" xr3:uid="{B3750A25-F5EB-4E0D-B5E9-1AE5B505E431}" name="3*6" totalsRowFunction="custom" dataDxfId="112" totalsRowDxfId="111">
      <calculatedColumnFormula>E5-H5</calculatedColumnFormula>
      <totalsRowFormula>SUMIF(K5:K20,"&gt;=0")</totalsRowFormula>
    </tableColumn>
    <tableColumn id="12" xr3:uid="{1FC80303-8A00-4341-9ADC-462F59AD5F0F}" name="2*7" totalsRowFunction="custom" dataDxfId="110" totalsRowDxfId="109">
      <calculatedColumnFormula>F5-I5</calculatedColumnFormula>
      <totalsRowFormula>SUMIF(L5:L20,"&gt;=0")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12F913-D745-4C24-ACC2-50E45CE14F5C}" name="Weekly_Boss" displayName="Weekly_Boss" ref="A1:F29" totalsRowCount="1" headerRowDxfId="108" dataDxfId="107">
  <autoFilter ref="A1:F28" xr:uid="{0D12F913-D745-4C24-ACC2-50E45CE14F5C}"/>
  <sortState xmlns:xlrd2="http://schemas.microsoft.com/office/spreadsheetml/2017/richdata2" ref="A2:F28">
    <sortCondition ref="B1:B28"/>
  </sortState>
  <tableColumns count="6">
    <tableColumn id="1" xr3:uid="{1AF8B431-0CA2-4C3F-ACEE-D1594E30F657}" name="Sl No." totalsRowLabel="Total" dataDxfId="106" totalsRowDxfId="105">
      <calculatedColumnFormula>SUBTOTAL(3,$B$2:B2)</calculatedColumnFormula>
    </tableColumn>
    <tableColumn id="2" xr3:uid="{9946B1E7-6265-4792-88FB-7D4B0ADE2782}" name="Boss Name" dataDxfId="104" totalsRowDxfId="103"/>
    <tableColumn id="3" xr3:uid="{2D8682D7-AECB-442B-BE29-2F38E80C2C45}" name="Mats Name" dataDxfId="102" totalsRowDxfId="101"/>
    <tableColumn id="4" xr3:uid="{34E1C2BE-5B37-4ADF-BA9D-FE111D4F04F4}" name="Mats Needed" totalsRowFunction="sum" dataDxfId="100" totalsRowDxfId="99">
      <calculatedColumnFormula>SUMIF(Summary!$Y$3:$Y$89,Weekly_Boss[[#This Row],[Mats Name]],Summary!$AC$3:$AC$89)</calculatedColumnFormula>
    </tableColumn>
    <tableColumn id="5" xr3:uid="{3324C55E-E38C-41AA-A95E-327F4EC0AD70}" name="Mats Acquired" totalsRowFunction="sum" dataDxfId="98" totalsRowDxfId="97"/>
    <tableColumn id="6" xr3:uid="{6E441E18-6E87-4320-A580-1EEBB3269CE1}" name="Remaining Mats" totalsRowFunction="custom" dataDxfId="96" totalsRowDxfId="95">
      <calculatedColumnFormula>D2-E2</calculatedColumnFormula>
      <totalsRowFormula>SUMIF(F2:F28,"&gt;=0")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20294-5B6F-4F6B-A24F-0A7E9FA17EBC}" name="Ascension_Flower" displayName="Ascension_Flower" ref="A2:E46" totalsRowCount="1" headerRowDxfId="94" dataDxfId="93">
  <autoFilter ref="A2:E45" xr:uid="{0D12F913-D745-4C24-ACC2-50E45CE14F5C}"/>
  <tableColumns count="5">
    <tableColumn id="1" xr3:uid="{51FEBC3D-1386-4C46-84E4-81ECE9899AAC}" name="Sl No." totalsRowLabel="Total" dataDxfId="92" totalsRowDxfId="91">
      <calculatedColumnFormula>SUBTOTAL(3,$B$3:B3)</calculatedColumnFormula>
    </tableColumn>
    <tableColumn id="3" xr3:uid="{2E0BE8BD-94A9-45F3-87C2-A844CA07F639}" name="Flower Name" dataDxfId="90" totalsRowDxfId="89"/>
    <tableColumn id="4" xr3:uid="{C8723A94-0DF1-4181-95F1-5B2320ABDB29}" name="Flowers Needed" totalsRowFunction="sum" dataDxfId="88" totalsRowDxfId="87">
      <calculatedColumnFormula>SUMIF(Summary[Flower Name],Ascension_Flower[[#This Row],[Flower Name]],Summary[Quantity])</calculatedColumnFormula>
    </tableColumn>
    <tableColumn id="5" xr3:uid="{7AEF3766-2EDE-467B-991F-AC7B238DD897}" name="Flowers Acquired" totalsRowFunction="sum" dataDxfId="86" totalsRowDxfId="85"/>
    <tableColumn id="6" xr3:uid="{C360486C-653F-4F56-9585-5C98BBC0A13D}" name="Remaining Flowers" totalsRowFunction="custom" dataDxfId="84" totalsRowDxfId="83">
      <calculatedColumnFormula>Ascension_Flower[[#This Row],[Flowers Needed]]-Ascension_Flower[[#This Row],[Flowers Acquired]]</calculatedColumnFormula>
      <totalsRowFormula>SUMIF(E3:E45,"&gt;=0")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6DC38F-9522-4CC1-A0E2-54BB0746C847}" name="Ascension_Mob_Materials" displayName="Ascension_Mob_Materials" ref="N2:S42" totalsRowCount="1" headerRowDxfId="82" dataDxfId="81">
  <autoFilter ref="N2:S41" xr:uid="{EF6DC38F-9522-4CC1-A0E2-54BB0746C847}"/>
  <tableColumns count="6">
    <tableColumn id="1" xr3:uid="{62916484-AA55-400A-A39F-0E5EE7F82BF7}" name="Sl No." totalsRowLabel="Total" dataDxfId="80" totalsRowDxfId="79">
      <calculatedColumnFormula>SUBTOTAL(3,$P$3:P3)</calculatedColumnFormula>
    </tableColumn>
    <tableColumn id="2" xr3:uid="{61524F61-A3D2-4D66-8229-73C8F76E703A}" name="Mob Name" dataDxfId="78" totalsRowDxfId="77"/>
    <tableColumn id="3" xr3:uid="{B5DA3A8C-BCBB-4DB0-9043-2C83FA9B7A34}" name="Material Name" dataDxfId="76" totalsRowDxfId="75"/>
    <tableColumn id="4" xr3:uid="{1280CFC8-DABE-44D3-9ED6-84C9ACBAA55B}" name="Mats_x000a_Needed" totalsRowFunction="sum" dataDxfId="74" totalsRowDxfId="73"/>
    <tableColumn id="5" xr3:uid="{7E5EE480-BF04-4792-8178-2416A6F48F97}" name="Mats_x000a_Acquired" totalsRowFunction="sum" dataDxfId="72" totalsRowDxfId="71"/>
    <tableColumn id="6" xr3:uid="{71625B4B-5CC2-4356-87CB-7FC688D390A2}" name="Remaining Mats" totalsRowFunction="custom" dataDxfId="70" totalsRowDxfId="69">
      <calculatedColumnFormula>Ascension_Mob_Materials[[#This Row],[Mats
Needed]]-Ascension_Mob_Materials[[#This Row],[Mats
Acquired]]</calculatedColumnFormula>
      <totalsRowFormula>SUMIF(S3:S41,"&gt;=0")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41BC84-F527-45D1-9D47-971D432180E8}" name="Ascension_Stones" displayName="Ascension_Stones" ref="G2:L35" totalsRowCount="1" headerRowDxfId="68" dataDxfId="67">
  <autoFilter ref="G2:L34" xr:uid="{D441BC84-F527-45D1-9D47-971D432180E8}"/>
  <tableColumns count="6">
    <tableColumn id="1" xr3:uid="{C22BE4D9-EDDA-40FC-A275-0BC14B6B12E0}" name="Sl No." totalsRowLabel="Total" dataDxfId="66" totalsRowDxfId="65">
      <calculatedColumnFormula>SUBTOTAL(3,$H$3:H3)</calculatedColumnFormula>
    </tableColumn>
    <tableColumn id="2" xr3:uid="{85C1978D-AA1E-49A0-9807-27463DDEF621}" name="Stone Name" dataDxfId="64" totalsRowDxfId="63"/>
    <tableColumn id="3" xr3:uid="{999D0B3F-8D23-41B2-A941-CB659FF58969}" name="Stone Type" dataDxfId="62" totalsRowDxfId="61"/>
    <tableColumn id="4" xr3:uid="{F7E258ED-0BD4-4B3F-9595-FEE451FA4A82}" name="Stones_x000a_Needed" totalsRowFunction="sum" dataDxfId="60" totalsRowDxfId="59">
      <calculatedColumnFormula>SUMIF(Summary[Stone Name],Ascension_Stones[[#This Row],[Stone Name]],Summary[Silver])</calculatedColumnFormula>
    </tableColumn>
    <tableColumn id="5" xr3:uid="{E052F83B-2EDB-4A10-B9D4-CB7C671561AF}" name="Stones Acquired" totalsRowFunction="sum" dataDxfId="58" totalsRowDxfId="57"/>
    <tableColumn id="6" xr3:uid="{C2B811A6-2E52-447C-B3B6-729BE6BBB38E}" name="Remaining Stones" totalsRowFunction="custom" dataDxfId="56" totalsRowDxfId="55">
      <calculatedColumnFormula>Ascension_Stones[[#This Row],[Stones
Needed]]-Ascension_Stones[[#This Row],[Stones Acquired]]</calculatedColumnFormula>
      <totalsRowFormula>SUMIF(L3:L34,"&gt;=0")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9DD-9BB3-4ED2-8AD1-D0BCA212FFB1}">
  <dimension ref="A1:BC98"/>
  <sheetViews>
    <sheetView tabSelected="1" zoomScale="85" zoomScaleNormal="85" workbookViewId="0">
      <selection activeCell="G3" sqref="G3"/>
    </sheetView>
  </sheetViews>
  <sheetFormatPr defaultColWidth="9.140625" defaultRowHeight="15" x14ac:dyDescent="0.25"/>
  <cols>
    <col min="1" max="1" width="9.140625" style="4" customWidth="1"/>
    <col min="2" max="2" width="15.7109375" style="7" customWidth="1"/>
    <col min="3" max="3" width="11.85546875" style="1" customWidth="1"/>
    <col min="4" max="7" width="7.140625" style="2" customWidth="1"/>
    <col min="8" max="8" width="29.85546875" style="1" customWidth="1"/>
    <col min="9" max="9" width="12.42578125" style="1" customWidth="1"/>
    <col min="10" max="10" width="12.7109375" style="1" customWidth="1"/>
    <col min="11" max="11" width="14.42578125" style="1" customWidth="1"/>
    <col min="12" max="14" width="9.7109375" style="1" customWidth="1"/>
    <col min="15" max="23" width="9.5703125" style="1" hidden="1" customWidth="1"/>
    <col min="24" max="24" width="21.28515625" style="3" customWidth="1"/>
    <col min="25" max="25" width="28.7109375" style="1" customWidth="1"/>
    <col min="26" max="26" width="10" style="1" customWidth="1"/>
    <col min="27" max="27" width="11" style="1" customWidth="1"/>
    <col min="28" max="28" width="12.42578125" style="1" customWidth="1"/>
    <col min="29" max="29" width="10.140625" style="2" customWidth="1"/>
    <col min="30" max="30" width="25.7109375" style="1" bestFit="1" customWidth="1"/>
    <col min="31" max="31" width="15.5703125" style="2" bestFit="1" customWidth="1"/>
    <col min="32" max="32" width="25.7109375" style="1" bestFit="1" customWidth="1"/>
    <col min="33" max="36" width="10.7109375" style="1" customWidth="1"/>
    <col min="37" max="37" width="18.28515625" style="1" bestFit="1" customWidth="1"/>
    <col min="38" max="43" width="8.7109375" style="1" customWidth="1"/>
    <col min="44" max="52" width="8.7109375" style="1" hidden="1" customWidth="1"/>
    <col min="53" max="55" width="8.7109375" style="1" customWidth="1"/>
    <col min="56" max="16384" width="9.140625" style="1"/>
  </cols>
  <sheetData>
    <row r="1" spans="1:55" s="2" customFormat="1" ht="24" customHeight="1" x14ac:dyDescent="0.25">
      <c r="A1" s="102" t="s">
        <v>0</v>
      </c>
      <c r="B1" s="102" t="s">
        <v>1</v>
      </c>
      <c r="C1" s="102" t="s">
        <v>2</v>
      </c>
      <c r="D1" s="102" t="s">
        <v>3</v>
      </c>
      <c r="E1" s="103" t="s">
        <v>4</v>
      </c>
      <c r="F1" s="104"/>
      <c r="G1" s="105"/>
      <c r="H1" s="103" t="s">
        <v>5</v>
      </c>
      <c r="I1" s="105"/>
      <c r="J1" s="102" t="s">
        <v>6</v>
      </c>
      <c r="K1" s="103" t="s">
        <v>7</v>
      </c>
      <c r="L1" s="104"/>
      <c r="M1" s="104"/>
      <c r="N1" s="105"/>
      <c r="O1" s="103" t="s">
        <v>8</v>
      </c>
      <c r="P1" s="104"/>
      <c r="Q1" s="104"/>
      <c r="R1" s="104"/>
      <c r="S1" s="104"/>
      <c r="T1" s="104"/>
      <c r="U1" s="104"/>
      <c r="V1" s="104"/>
      <c r="W1" s="105"/>
      <c r="X1" s="103" t="s">
        <v>9</v>
      </c>
      <c r="Y1" s="104"/>
      <c r="Z1" s="104"/>
      <c r="AA1" s="104"/>
      <c r="AB1" s="104"/>
      <c r="AC1" s="105"/>
      <c r="AD1" s="110" t="s">
        <v>10</v>
      </c>
      <c r="AE1" s="110"/>
      <c r="AF1" s="103" t="s">
        <v>11</v>
      </c>
      <c r="AG1" s="104"/>
      <c r="AH1" s="104"/>
      <c r="AI1" s="104"/>
      <c r="AJ1" s="105"/>
      <c r="AK1" s="103" t="s">
        <v>12</v>
      </c>
      <c r="AL1" s="104"/>
      <c r="AM1" s="104"/>
      <c r="AN1" s="104"/>
      <c r="AO1" s="103" t="s">
        <v>13</v>
      </c>
      <c r="AP1" s="104"/>
      <c r="AQ1" s="104"/>
      <c r="AR1" s="103" t="s">
        <v>14</v>
      </c>
      <c r="AS1" s="104"/>
      <c r="AT1" s="104"/>
      <c r="AU1" s="104"/>
      <c r="AV1" s="104"/>
      <c r="AW1" s="104"/>
      <c r="AX1" s="104"/>
      <c r="AY1" s="104"/>
      <c r="AZ1" s="105"/>
      <c r="BA1" s="103" t="s">
        <v>15</v>
      </c>
      <c r="BB1" s="104"/>
      <c r="BC1" s="105"/>
    </row>
    <row r="2" spans="1:55" s="2" customFormat="1" ht="45.75" customHeight="1" x14ac:dyDescent="0.25">
      <c r="A2" s="101" t="s">
        <v>0</v>
      </c>
      <c r="B2" s="101" t="s">
        <v>1</v>
      </c>
      <c r="C2" s="101" t="s">
        <v>2</v>
      </c>
      <c r="D2" s="101" t="s">
        <v>3</v>
      </c>
      <c r="E2" s="81" t="s">
        <v>16</v>
      </c>
      <c r="F2" s="6" t="s">
        <v>17</v>
      </c>
      <c r="G2" s="82" t="s">
        <v>18</v>
      </c>
      <c r="H2" s="81" t="s">
        <v>19</v>
      </c>
      <c r="I2" s="82" t="s">
        <v>20</v>
      </c>
      <c r="J2" s="85" t="s">
        <v>6</v>
      </c>
      <c r="K2" s="81" t="s">
        <v>21</v>
      </c>
      <c r="L2" s="6" t="s">
        <v>22</v>
      </c>
      <c r="M2" s="6" t="s">
        <v>23</v>
      </c>
      <c r="N2" s="82" t="s">
        <v>24</v>
      </c>
      <c r="O2" s="81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6" t="s">
        <v>31</v>
      </c>
      <c r="V2" s="6" t="s">
        <v>32</v>
      </c>
      <c r="W2" s="82" t="s">
        <v>33</v>
      </c>
      <c r="X2" s="81" t="s">
        <v>34</v>
      </c>
      <c r="Y2" s="6" t="s">
        <v>35</v>
      </c>
      <c r="Z2" s="6" t="s">
        <v>36</v>
      </c>
      <c r="AA2" s="6" t="s">
        <v>37</v>
      </c>
      <c r="AB2" s="6" t="s">
        <v>38</v>
      </c>
      <c r="AC2" s="82" t="s">
        <v>39</v>
      </c>
      <c r="AD2" s="6" t="s">
        <v>40</v>
      </c>
      <c r="AE2" s="6" t="s">
        <v>41</v>
      </c>
      <c r="AF2" s="81" t="s">
        <v>42</v>
      </c>
      <c r="AG2" s="6" t="s">
        <v>43</v>
      </c>
      <c r="AH2" s="6" t="s">
        <v>44</v>
      </c>
      <c r="AI2" s="6" t="s">
        <v>45</v>
      </c>
      <c r="AJ2" s="82" t="s">
        <v>46</v>
      </c>
      <c r="AK2" s="81" t="s">
        <v>47</v>
      </c>
      <c r="AL2" s="6" t="s">
        <v>48</v>
      </c>
      <c r="AM2" s="6" t="s">
        <v>49</v>
      </c>
      <c r="AN2" s="6" t="s">
        <v>50</v>
      </c>
      <c r="AO2" s="81" t="s">
        <v>51</v>
      </c>
      <c r="AP2" s="6" t="s">
        <v>52</v>
      </c>
      <c r="AQ2" s="6" t="s">
        <v>53</v>
      </c>
      <c r="AR2" s="81" t="s">
        <v>54</v>
      </c>
      <c r="AS2" s="6" t="s">
        <v>55</v>
      </c>
      <c r="AT2" s="6" t="s">
        <v>56</v>
      </c>
      <c r="AU2" s="81" t="s">
        <v>57</v>
      </c>
      <c r="AV2" s="6" t="s">
        <v>58</v>
      </c>
      <c r="AW2" s="6" t="s">
        <v>59</v>
      </c>
      <c r="AX2" s="81" t="s">
        <v>60</v>
      </c>
      <c r="AY2" s="6" t="s">
        <v>61</v>
      </c>
      <c r="AZ2" s="6" t="s">
        <v>62</v>
      </c>
      <c r="BA2" s="81" t="s">
        <v>63</v>
      </c>
      <c r="BB2" s="6" t="s">
        <v>64</v>
      </c>
      <c r="BC2" s="82" t="s">
        <v>65</v>
      </c>
    </row>
    <row r="3" spans="1:55" ht="38.25" customHeight="1" x14ac:dyDescent="0.25">
      <c r="A3" s="86">
        <f>SUBTOTAL(3,$B$3:B3)</f>
        <v>1</v>
      </c>
      <c r="B3" s="88" t="s">
        <v>66</v>
      </c>
      <c r="C3" s="90" t="s">
        <v>67</v>
      </c>
      <c r="D3" s="16">
        <v>81</v>
      </c>
      <c r="E3" s="11">
        <v>5</v>
      </c>
      <c r="F3" s="2">
        <v>6</v>
      </c>
      <c r="G3" s="12">
        <v>6</v>
      </c>
      <c r="H3" s="11" t="s">
        <v>68</v>
      </c>
      <c r="I3" s="12">
        <f t="shared" ref="I3:I34" si="0">(IF(D3&lt;=40,"46",IF(D3&lt;=50,"44",IF(D3&lt;=60,"40",IF(D3&lt;=70,"32",IF(D3&lt;=80,"20","0"))))))+0</f>
        <v>0</v>
      </c>
      <c r="J3" s="92">
        <f t="shared" ref="J3:J34" si="1">(IF(D3&lt;=1,"419",IF(D3&lt;=10,"417",IF(D3&lt;=20,"413",IF(D3&lt;=30,"402",IF(D3&lt;=40,"384",IF(D3&lt;=50,"355",IF(D3&lt;=60,"312",IF(D3&lt;=70,"252",IF(D3&lt;=80,"172",0))))))))))+0</f>
        <v>0</v>
      </c>
      <c r="K3" s="93" t="s">
        <v>69</v>
      </c>
      <c r="L3" s="94">
        <f t="shared" ref="L3:L34" si="2">O3+R3+U3</f>
        <v>66</v>
      </c>
      <c r="M3" s="94">
        <f t="shared" ref="M3:M34" si="3">P3+S3+V3</f>
        <v>9</v>
      </c>
      <c r="N3" s="95">
        <f t="shared" ref="N3:N34" si="4">Q3+T3+W3</f>
        <v>0</v>
      </c>
      <c r="O3" s="93">
        <f>(IF(E3&lt;=6,"22",IF(E3&lt;=7,"18",IF(E3&lt;=8,"12",0))))+0</f>
        <v>22</v>
      </c>
      <c r="P3" s="94">
        <f>(IF(E3&lt;=2,"21",IF(E3&lt;=3,"19",IF(E3&lt;=4,"15",IF(E3&lt;=5,"9",0)))))+0</f>
        <v>9</v>
      </c>
      <c r="Q3" s="94">
        <f>(IF(E3&lt;=1,"3",0))+0</f>
        <v>0</v>
      </c>
      <c r="R3" s="94">
        <f>(IF(F3&lt;=6,"22",IF(F3&lt;=7,"18",IF(F3&lt;=8,"12",0))))+0</f>
        <v>22</v>
      </c>
      <c r="S3" s="94">
        <f>(IF(F3&lt;=2,"21",IF(F3&lt;=3,"19",IF(F3&lt;=4,"15",IF(F3&lt;=5,"9",0)))))+0</f>
        <v>0</v>
      </c>
      <c r="T3" s="94">
        <f>(IF(F3&lt;=1,"3",0))+0</f>
        <v>0</v>
      </c>
      <c r="U3" s="94">
        <f>(IF(G3&lt;=6,"22",IF(G3&lt;=7,"18",IF(G3&lt;=8,"12",0))))+0</f>
        <v>22</v>
      </c>
      <c r="V3" s="94">
        <f>(IF(G3&lt;=2,"21",IF(G3&lt;=3,"19",IF(G3&lt;=4,"15",IF(G3&lt;=5,"9",0)))))+0</f>
        <v>0</v>
      </c>
      <c r="W3" s="95">
        <f>(IF(G3&lt;=1,"3",0))+0</f>
        <v>0</v>
      </c>
      <c r="X3" s="10" t="s">
        <v>70</v>
      </c>
      <c r="Y3" s="1" t="s">
        <v>71</v>
      </c>
      <c r="Z3" s="1">
        <f>(IF(E3&lt;=6,"4",IF(E3&lt;=7,"3",IF(E3&lt;=8,"2","0"))))+0</f>
        <v>4</v>
      </c>
      <c r="AA3" s="1">
        <f>(IF(F3&lt;=6,"4",IF(F3&lt;=7,"3",IF(F3&lt;=8,"2","0"))))+0</f>
        <v>4</v>
      </c>
      <c r="AB3" s="1">
        <f>(IF(G3&lt;=6,"4",IF(G3&lt;=7,"3",IF(G3&lt;=8,"2","0"))))+0</f>
        <v>4</v>
      </c>
      <c r="AC3" s="12">
        <f t="shared" ref="AC3:AC34" si="5">SUM(Z3:AB3)</f>
        <v>12</v>
      </c>
      <c r="AD3" s="1" t="s">
        <v>72</v>
      </c>
      <c r="AE3" s="2">
        <f t="shared" ref="AE3:AE34" si="6">IF($D3&lt;=20,"168",IF($D3&lt;=30,"165",IF($D3&lt;=50,"155",IF($D3&lt;=60,"135",IF($D3&lt;=70,"105",IF($D3&lt;=80,"60","0"))))))+0</f>
        <v>0</v>
      </c>
      <c r="AF3" s="83" t="s">
        <v>73</v>
      </c>
      <c r="AG3" s="1">
        <f t="shared" ref="AG3:AG34" si="7">IF($D3&lt;=80,"6","0")+0</f>
        <v>0</v>
      </c>
      <c r="AH3" s="1">
        <f t="shared" ref="AH3:AH34" si="8">IF($D3&lt;=60,"9",IF($D3&lt;=70,"6","0"))+0</f>
        <v>0</v>
      </c>
      <c r="AI3" s="1">
        <f t="shared" ref="AI3:AI34" si="9">IF($D3&lt;=40,"9",IF($D3&lt;=50,"6","0"))+0</f>
        <v>0</v>
      </c>
      <c r="AJ3" s="69">
        <f t="shared" ref="AJ3:AJ34" si="10">(IF($D3&lt;=20,"1","0"))+0</f>
        <v>0</v>
      </c>
      <c r="AK3" s="83" t="s">
        <v>74</v>
      </c>
      <c r="AL3" s="1">
        <f t="shared" ref="AL3:AL34" si="11">IF($D3&lt;=70,"36",IF($D3&lt;=80,"24","0"))+0</f>
        <v>0</v>
      </c>
      <c r="AM3" s="1">
        <f t="shared" ref="AM3:AM34" si="12">IF($D3&lt;=50,"30",IF($D3&lt;=60,"18","0"))+0</f>
        <v>0</v>
      </c>
      <c r="AN3" s="1">
        <f t="shared" ref="AN3:AN34" si="13">IF($D3&lt;=20,"18",IF($D3&lt;=40,"15","0"))+0</f>
        <v>0</v>
      </c>
      <c r="AO3" s="98">
        <f>Summary[[#This Row],[3*2]]+Summary[[#This Row],[3*22]]+Summary[[#This Row],[3*23]]</f>
        <v>57</v>
      </c>
      <c r="AP3" s="99">
        <f>Summary[[#This Row],[2*2]]+Summary[[#This Row],[2*23]]+Summary[[#This Row],[2*24]]</f>
        <v>9</v>
      </c>
      <c r="AQ3" s="99">
        <f>Summary[[#This Row],[1*2]]+Summary[[#This Row],[1*24]]+Summary[[#This Row],[1*25]]</f>
        <v>0</v>
      </c>
      <c r="AR3" s="98">
        <f t="shared" ref="AR3:AR34" si="14">(IF($E3&lt;=6,"19",IF($E3&lt;=7,"18",IF($E3&lt;=8,"9",0)))+0)</f>
        <v>19</v>
      </c>
      <c r="AS3" s="99">
        <f t="shared" ref="AS3:AS34" si="15">(IF($E3&lt;=2,"22",IF($E3&lt;=3,"19",IF($E3&lt;=4,"15",IF($E3&lt;=5,"9",0)))))+0</f>
        <v>9</v>
      </c>
      <c r="AT3" s="99">
        <f t="shared" ref="AT3:AT34" si="16">(IF($E3&lt;=1,"6",0))+0</f>
        <v>0</v>
      </c>
      <c r="AU3" s="98">
        <f t="shared" ref="AU3:AU34" si="17">(IF($F3&lt;=6,"19",IF($F3&lt;=7,"18",IF($F3&lt;=8,"9",0)))+0)</f>
        <v>19</v>
      </c>
      <c r="AV3" s="99">
        <f t="shared" ref="AV3:AV34" si="18">(IF($F3&lt;=2,"22",IF($F3&lt;=3,"19",IF($F3&lt;=4,"15",IF($F3&lt;=5,"9",0)))))+0</f>
        <v>0</v>
      </c>
      <c r="AW3" s="99">
        <f t="shared" ref="AW3:AW34" si="19">(IF($F3&lt;=1,"6",0))+0</f>
        <v>0</v>
      </c>
      <c r="AX3" s="98">
        <f t="shared" ref="AX3:AX34" si="20">(IF($G3&lt;=6,"19",IF($G3&lt;=7,"18",IF($G3&lt;=8,"9",0)))+0)</f>
        <v>19</v>
      </c>
      <c r="AY3" s="99">
        <f t="shared" ref="AY3:AY34" si="21">(IF($G3&lt;=2,"22",IF($G3&lt;=3,"19",IF($G3&lt;=4,"15",IF($G3&lt;=5,"9",0)))))+0</f>
        <v>0</v>
      </c>
      <c r="AZ3" s="99">
        <f t="shared" ref="AZ3:AZ34" si="22">(IF($G3&lt;=1,"6",0))+0</f>
        <v>0</v>
      </c>
      <c r="BA3" s="83">
        <f>SUM(Summary[[#This Row],[3* (Tal)]],Summary[[#This Row],[3* (Asc)]])</f>
        <v>57</v>
      </c>
      <c r="BB3" s="1">
        <f>SUM(Summary[[#This Row],[2* (Tal)]],Summary[[#This Row],[2* (Asc)]])</f>
        <v>9</v>
      </c>
      <c r="BC3" s="69">
        <f>SUM(Summary[[#This Row],[1* (Tal)]],Summary[[#This Row],[1* (Asc)]])</f>
        <v>0</v>
      </c>
    </row>
    <row r="4" spans="1:55" x14ac:dyDescent="0.25">
      <c r="A4" s="86">
        <f>SUBTOTAL(3,$B$3:B4)</f>
        <v>2</v>
      </c>
      <c r="B4" s="88" t="s">
        <v>66</v>
      </c>
      <c r="C4" s="90" t="s">
        <v>139</v>
      </c>
      <c r="D4" s="16">
        <v>81</v>
      </c>
      <c r="E4" s="11" t="s">
        <v>69</v>
      </c>
      <c r="F4" s="2" t="s">
        <v>69</v>
      </c>
      <c r="G4" s="12" t="s">
        <v>69</v>
      </c>
      <c r="H4" s="11" t="s">
        <v>68</v>
      </c>
      <c r="I4" s="12">
        <f t="shared" si="0"/>
        <v>0</v>
      </c>
      <c r="J4" s="92">
        <f t="shared" si="1"/>
        <v>0</v>
      </c>
      <c r="K4" s="93" t="s">
        <v>69</v>
      </c>
      <c r="L4" s="94">
        <f t="shared" si="2"/>
        <v>0</v>
      </c>
      <c r="M4" s="94">
        <f t="shared" si="3"/>
        <v>0</v>
      </c>
      <c r="N4" s="95">
        <f t="shared" si="4"/>
        <v>0</v>
      </c>
      <c r="O4" s="93">
        <f>(IF(E4&lt;=6,"22",IF(E4&lt;=7,"18",IF(E4&lt;=8,"12",0))))+0</f>
        <v>0</v>
      </c>
      <c r="P4" s="94">
        <f>(IF(E4&lt;=2,"21",IF(E4&lt;=3,"19",IF(E4&lt;=4,"15",IF(E4&lt;=5,"9",0)))))+0</f>
        <v>0</v>
      </c>
      <c r="Q4" s="94">
        <f>(IF(E4&lt;=1,"3",0))+0</f>
        <v>0</v>
      </c>
      <c r="R4" s="94">
        <f>(IF(F4&lt;=6,"22",IF(F4&lt;=7,"18",IF(F4&lt;=8,"12",0))))+0</f>
        <v>0</v>
      </c>
      <c r="S4" s="94">
        <f>(IF(F4&lt;=2,"21",IF(F4&lt;=3,"19",IF(F4&lt;=4,"15",IF(F4&lt;=5,"9",0)))))+0</f>
        <v>0</v>
      </c>
      <c r="T4" s="94">
        <f>(IF(F4&lt;=1,"3",0))+0</f>
        <v>0</v>
      </c>
      <c r="U4" s="94">
        <f>(IF(G4&lt;=6,"22",IF(G4&lt;=7,"18",IF(G4&lt;=8,"12",0))))+0</f>
        <v>0</v>
      </c>
      <c r="V4" s="94">
        <f>(IF(G4&lt;=2,"21",IF(G4&lt;=3,"19",IF(G4&lt;=4,"15",IF(G4&lt;=5,"9",0)))))+0</f>
        <v>0</v>
      </c>
      <c r="W4" s="95">
        <f>(IF(G4&lt;=1,"3",0))+0</f>
        <v>0</v>
      </c>
      <c r="X4" s="10" t="s">
        <v>69</v>
      </c>
      <c r="Y4" s="1" t="s">
        <v>69</v>
      </c>
      <c r="Z4" s="1">
        <f>(IF(E4&lt;=6,"4",IF(E4&lt;=7,"3",IF(E4&lt;=8,"2","0"))))+0</f>
        <v>0</v>
      </c>
      <c r="AA4" s="1">
        <f>(IF(F4&lt;=6,"4",IF(F4&lt;=7,"3",IF(F4&lt;=8,"2","0"))))+0</f>
        <v>0</v>
      </c>
      <c r="AB4" s="1">
        <f>(IF(G4&lt;=6,"4",IF(G4&lt;=7,"3",IF(G4&lt;=8,"2","0"))))+0</f>
        <v>0</v>
      </c>
      <c r="AC4" s="12">
        <f t="shared" si="5"/>
        <v>0</v>
      </c>
      <c r="AD4" s="2" t="s">
        <v>69</v>
      </c>
      <c r="AE4" s="2">
        <f t="shared" si="6"/>
        <v>0</v>
      </c>
      <c r="AF4" s="83" t="s">
        <v>73</v>
      </c>
      <c r="AG4" s="1">
        <f t="shared" si="7"/>
        <v>0</v>
      </c>
      <c r="AH4" s="1">
        <f t="shared" si="8"/>
        <v>0</v>
      </c>
      <c r="AI4" s="1">
        <f t="shared" si="9"/>
        <v>0</v>
      </c>
      <c r="AJ4" s="69">
        <f t="shared" si="10"/>
        <v>0</v>
      </c>
      <c r="AK4" s="11" t="s">
        <v>69</v>
      </c>
      <c r="AL4" s="1">
        <f t="shared" si="11"/>
        <v>0</v>
      </c>
      <c r="AM4" s="1">
        <f t="shared" si="12"/>
        <v>0</v>
      </c>
      <c r="AN4" s="1">
        <f t="shared" si="13"/>
        <v>0</v>
      </c>
      <c r="AO4" s="98">
        <f>Summary[[#This Row],[3*2]]+Summary[[#This Row],[3*22]]+Summary[[#This Row],[3*23]]</f>
        <v>0</v>
      </c>
      <c r="AP4" s="97">
        <f>Summary[[#This Row],[2*2]]+Summary[[#This Row],[2*23]]+Summary[[#This Row],[2*24]]</f>
        <v>0</v>
      </c>
      <c r="AQ4" s="97">
        <f>Summary[[#This Row],[1*2]]+Summary[[#This Row],[1*24]]+Summary[[#This Row],[1*25]]</f>
        <v>0</v>
      </c>
      <c r="AR4" s="97">
        <f t="shared" si="14"/>
        <v>0</v>
      </c>
      <c r="AS4" s="97">
        <f t="shared" si="15"/>
        <v>0</v>
      </c>
      <c r="AT4" s="97">
        <f t="shared" si="16"/>
        <v>0</v>
      </c>
      <c r="AU4" s="97">
        <f t="shared" si="17"/>
        <v>0</v>
      </c>
      <c r="AV4" s="97">
        <f t="shared" si="18"/>
        <v>0</v>
      </c>
      <c r="AW4" s="97">
        <f t="shared" si="19"/>
        <v>0</v>
      </c>
      <c r="AX4" s="97">
        <f t="shared" si="20"/>
        <v>0</v>
      </c>
      <c r="AY4" s="97">
        <f t="shared" si="21"/>
        <v>0</v>
      </c>
      <c r="AZ4" s="97">
        <f t="shared" si="22"/>
        <v>0</v>
      </c>
      <c r="BA4" s="83">
        <f>SUM(Summary[[#This Row],[3* (Tal)]],Summary[[#This Row],[3* (Asc)]])</f>
        <v>0</v>
      </c>
      <c r="BB4" s="1">
        <f>SUM(Summary[[#This Row],[2* (Tal)]],Summary[[#This Row],[2* (Asc)]])</f>
        <v>0</v>
      </c>
      <c r="BC4" s="69">
        <f>SUM(Summary[[#This Row],[1* (Tal)]],Summary[[#This Row],[1* (Asc)]])</f>
        <v>0</v>
      </c>
    </row>
    <row r="5" spans="1:55" x14ac:dyDescent="0.25">
      <c r="A5" s="86">
        <f>SUBTOTAL(3,$B$3:B5)</f>
        <v>3</v>
      </c>
      <c r="B5" s="88" t="s">
        <v>66</v>
      </c>
      <c r="C5" s="90" t="s">
        <v>190</v>
      </c>
      <c r="D5" s="16">
        <v>81</v>
      </c>
      <c r="E5" s="11">
        <v>1</v>
      </c>
      <c r="F5" s="2">
        <v>1</v>
      </c>
      <c r="G5" s="12">
        <v>1</v>
      </c>
      <c r="H5" s="11" t="s">
        <v>68</v>
      </c>
      <c r="I5" s="12">
        <f t="shared" si="0"/>
        <v>0</v>
      </c>
      <c r="J5" s="92">
        <f t="shared" si="1"/>
        <v>0</v>
      </c>
      <c r="K5" s="93" t="s">
        <v>69</v>
      </c>
      <c r="L5" s="94">
        <f t="shared" si="2"/>
        <v>66</v>
      </c>
      <c r="M5" s="94">
        <f t="shared" si="3"/>
        <v>63</v>
      </c>
      <c r="N5" s="95">
        <f t="shared" si="4"/>
        <v>9</v>
      </c>
      <c r="O5" s="93">
        <f t="shared" ref="O5:O36" si="23">(IF(E5&lt;=6,"22",IF(E5&lt;=7,"18",IF(E5&lt;=8,"12",0))))+0</f>
        <v>22</v>
      </c>
      <c r="P5" s="94">
        <f t="shared" ref="P5:P36" si="24">(IF(E5&lt;=2,"21",IF(E5&lt;=3,"19",IF(E5&lt;=4,"15",IF(E5&lt;=5,"9",0)))))+0</f>
        <v>21</v>
      </c>
      <c r="Q5" s="94">
        <f t="shared" ref="Q5:Q36" si="25">(IF(E5&lt;=1,"3",0))+0</f>
        <v>3</v>
      </c>
      <c r="R5" s="94">
        <f t="shared" ref="R5:R36" si="26">(IF(F5&lt;=6,"22",IF(F5&lt;=7,"18",IF(F5&lt;=8,"12",0))))+0</f>
        <v>22</v>
      </c>
      <c r="S5" s="94">
        <f t="shared" ref="S5:S36" si="27">(IF(F5&lt;=2,"21",IF(F5&lt;=3,"19",IF(F5&lt;=4,"15",IF(F5&lt;=5,"9",0)))))+0</f>
        <v>21</v>
      </c>
      <c r="T5" s="94">
        <f t="shared" ref="T5:T36" si="28">(IF(F5&lt;=1,"3",0))+0</f>
        <v>3</v>
      </c>
      <c r="U5" s="94">
        <f t="shared" ref="U5:U36" si="29">(IF(G5&lt;=6,"22",IF(G5&lt;=7,"18",IF(G5&lt;=8,"12",0))))+0</f>
        <v>22</v>
      </c>
      <c r="V5" s="94">
        <f t="shared" ref="V5:V36" si="30">(IF(G5&lt;=2,"21",IF(G5&lt;=3,"19",IF(G5&lt;=4,"15",IF(G5&lt;=5,"9",0)))))+0</f>
        <v>21</v>
      </c>
      <c r="W5" s="95">
        <f t="shared" ref="W5:W36" si="31">(IF(G5&lt;=1,"3",0))+0</f>
        <v>3</v>
      </c>
      <c r="X5" s="10" t="s">
        <v>104</v>
      </c>
      <c r="Y5" s="1" t="s">
        <v>191</v>
      </c>
      <c r="Z5" s="1">
        <f t="shared" ref="Z5:AB7" si="32">(IF(E5&lt;=6,"4",IF(E5&lt;=7,"3",IF(E5&lt;=8,"2","0"))))+0</f>
        <v>4</v>
      </c>
      <c r="AA5" s="1">
        <f t="shared" si="32"/>
        <v>4</v>
      </c>
      <c r="AB5" s="1">
        <f t="shared" si="32"/>
        <v>4</v>
      </c>
      <c r="AC5" s="12">
        <f t="shared" si="5"/>
        <v>12</v>
      </c>
      <c r="AD5" s="2" t="s">
        <v>69</v>
      </c>
      <c r="AE5" s="2">
        <f t="shared" si="6"/>
        <v>0</v>
      </c>
      <c r="AF5" s="83" t="s">
        <v>73</v>
      </c>
      <c r="AG5" s="1">
        <f t="shared" si="7"/>
        <v>0</v>
      </c>
      <c r="AH5" s="1">
        <f t="shared" si="8"/>
        <v>0</v>
      </c>
      <c r="AI5" s="1">
        <f t="shared" si="9"/>
        <v>0</v>
      </c>
      <c r="AJ5" s="69">
        <f t="shared" si="10"/>
        <v>0</v>
      </c>
      <c r="AK5" s="11" t="s">
        <v>69</v>
      </c>
      <c r="AL5" s="1">
        <f t="shared" si="11"/>
        <v>0</v>
      </c>
      <c r="AM5" s="1">
        <f t="shared" si="12"/>
        <v>0</v>
      </c>
      <c r="AN5" s="1">
        <f t="shared" si="13"/>
        <v>0</v>
      </c>
      <c r="AO5" s="98">
        <f>Summary[[#This Row],[3*2]]+Summary[[#This Row],[3*22]]+Summary[[#This Row],[3*23]]</f>
        <v>57</v>
      </c>
      <c r="AP5" s="97">
        <f>Summary[[#This Row],[2*2]]+Summary[[#This Row],[2*23]]+Summary[[#This Row],[2*24]]</f>
        <v>66</v>
      </c>
      <c r="AQ5" s="97">
        <f>Summary[[#This Row],[1*2]]+Summary[[#This Row],[1*24]]+Summary[[#This Row],[1*25]]</f>
        <v>18</v>
      </c>
      <c r="AR5" s="97">
        <f t="shared" si="14"/>
        <v>19</v>
      </c>
      <c r="AS5" s="97">
        <f t="shared" si="15"/>
        <v>22</v>
      </c>
      <c r="AT5" s="97">
        <f t="shared" si="16"/>
        <v>6</v>
      </c>
      <c r="AU5" s="97">
        <f t="shared" si="17"/>
        <v>19</v>
      </c>
      <c r="AV5" s="97">
        <f t="shared" si="18"/>
        <v>22</v>
      </c>
      <c r="AW5" s="97">
        <f t="shared" si="19"/>
        <v>6</v>
      </c>
      <c r="AX5" s="97">
        <f t="shared" si="20"/>
        <v>19</v>
      </c>
      <c r="AY5" s="97">
        <f t="shared" si="21"/>
        <v>22</v>
      </c>
      <c r="AZ5" s="97">
        <f t="shared" si="22"/>
        <v>6</v>
      </c>
      <c r="BA5" s="83">
        <f>SUM(Summary[[#This Row],[3* (Tal)]],Summary[[#This Row],[3* (Asc)]])</f>
        <v>57</v>
      </c>
      <c r="BB5" s="1">
        <f>SUM(Summary[[#This Row],[2* (Tal)]],Summary[[#This Row],[2* (Asc)]])</f>
        <v>66</v>
      </c>
      <c r="BC5" s="69">
        <f>SUM(Summary[[#This Row],[1* (Tal)]],Summary[[#This Row],[1* (Asc)]])</f>
        <v>18</v>
      </c>
    </row>
    <row r="6" spans="1:55" x14ac:dyDescent="0.25">
      <c r="A6" s="86">
        <f>SUBTOTAL(3,$B$3:B6)</f>
        <v>4</v>
      </c>
      <c r="B6" s="88" t="s">
        <v>66</v>
      </c>
      <c r="C6" s="90" t="s">
        <v>212</v>
      </c>
      <c r="D6" s="16">
        <v>81</v>
      </c>
      <c r="E6" s="11">
        <v>1</v>
      </c>
      <c r="F6" s="2">
        <v>1</v>
      </c>
      <c r="G6" s="12">
        <v>1</v>
      </c>
      <c r="H6" s="11" t="s">
        <v>68</v>
      </c>
      <c r="I6" s="12">
        <f t="shared" si="0"/>
        <v>0</v>
      </c>
      <c r="J6" s="92">
        <f t="shared" si="1"/>
        <v>0</v>
      </c>
      <c r="K6" s="93" t="s">
        <v>69</v>
      </c>
      <c r="L6" s="94">
        <f t="shared" si="2"/>
        <v>66</v>
      </c>
      <c r="M6" s="94">
        <f t="shared" si="3"/>
        <v>63</v>
      </c>
      <c r="N6" s="95">
        <f t="shared" si="4"/>
        <v>9</v>
      </c>
      <c r="O6" s="93">
        <f t="shared" si="23"/>
        <v>22</v>
      </c>
      <c r="P6" s="94">
        <f t="shared" si="24"/>
        <v>21</v>
      </c>
      <c r="Q6" s="94">
        <f t="shared" si="25"/>
        <v>3</v>
      </c>
      <c r="R6" s="94">
        <f t="shared" si="26"/>
        <v>22</v>
      </c>
      <c r="S6" s="94">
        <f t="shared" si="27"/>
        <v>21</v>
      </c>
      <c r="T6" s="94">
        <f t="shared" si="28"/>
        <v>3</v>
      </c>
      <c r="U6" s="94">
        <f t="shared" si="29"/>
        <v>22</v>
      </c>
      <c r="V6" s="94">
        <f t="shared" si="30"/>
        <v>21</v>
      </c>
      <c r="W6" s="95">
        <f t="shared" si="31"/>
        <v>3</v>
      </c>
      <c r="X6" s="10" t="s">
        <v>90</v>
      </c>
      <c r="Y6" s="1" t="s">
        <v>159</v>
      </c>
      <c r="Z6" s="1">
        <f t="shared" si="32"/>
        <v>4</v>
      </c>
      <c r="AA6" s="1">
        <f t="shared" si="32"/>
        <v>4</v>
      </c>
      <c r="AB6" s="1">
        <f t="shared" si="32"/>
        <v>4</v>
      </c>
      <c r="AC6" s="12">
        <f t="shared" si="5"/>
        <v>12</v>
      </c>
      <c r="AD6" s="2" t="s">
        <v>69</v>
      </c>
      <c r="AE6" s="2">
        <f t="shared" si="6"/>
        <v>0</v>
      </c>
      <c r="AF6" s="83" t="s">
        <v>73</v>
      </c>
      <c r="AG6" s="1">
        <f t="shared" si="7"/>
        <v>0</v>
      </c>
      <c r="AH6" s="1">
        <f t="shared" si="8"/>
        <v>0</v>
      </c>
      <c r="AI6" s="1">
        <f t="shared" si="9"/>
        <v>0</v>
      </c>
      <c r="AJ6" s="69">
        <f t="shared" si="10"/>
        <v>0</v>
      </c>
      <c r="AK6" s="11" t="s">
        <v>69</v>
      </c>
      <c r="AL6" s="1">
        <f t="shared" si="11"/>
        <v>0</v>
      </c>
      <c r="AM6" s="1">
        <f t="shared" si="12"/>
        <v>0</v>
      </c>
      <c r="AN6" s="1">
        <f t="shared" si="13"/>
        <v>0</v>
      </c>
      <c r="AO6" s="98">
        <f>Summary[[#This Row],[3*2]]+Summary[[#This Row],[3*22]]+Summary[[#This Row],[3*23]]</f>
        <v>57</v>
      </c>
      <c r="AP6" s="97">
        <f>Summary[[#This Row],[2*2]]+Summary[[#This Row],[2*23]]+Summary[[#This Row],[2*24]]</f>
        <v>66</v>
      </c>
      <c r="AQ6" s="97">
        <f>Summary[[#This Row],[1*2]]+Summary[[#This Row],[1*24]]+Summary[[#This Row],[1*25]]</f>
        <v>18</v>
      </c>
      <c r="AR6" s="97">
        <f t="shared" si="14"/>
        <v>19</v>
      </c>
      <c r="AS6" s="97">
        <f t="shared" si="15"/>
        <v>22</v>
      </c>
      <c r="AT6" s="97">
        <f t="shared" si="16"/>
        <v>6</v>
      </c>
      <c r="AU6" s="97">
        <f t="shared" si="17"/>
        <v>19</v>
      </c>
      <c r="AV6" s="97">
        <f t="shared" si="18"/>
        <v>22</v>
      </c>
      <c r="AW6" s="97">
        <f t="shared" si="19"/>
        <v>6</v>
      </c>
      <c r="AX6" s="97">
        <f t="shared" si="20"/>
        <v>19</v>
      </c>
      <c r="AY6" s="97">
        <f t="shared" si="21"/>
        <v>22</v>
      </c>
      <c r="AZ6" s="97">
        <f t="shared" si="22"/>
        <v>6</v>
      </c>
      <c r="BA6" s="83">
        <f>SUM(Summary[[#This Row],[3* (Tal)]],Summary[[#This Row],[3* (Asc)]])</f>
        <v>57</v>
      </c>
      <c r="BB6" s="1">
        <f>SUM(Summary[[#This Row],[2* (Tal)]],Summary[[#This Row],[2* (Asc)]])</f>
        <v>66</v>
      </c>
      <c r="BC6" s="69">
        <f>SUM(Summary[[#This Row],[1* (Tal)]],Summary[[#This Row],[1* (Asc)]])</f>
        <v>18</v>
      </c>
    </row>
    <row r="7" spans="1:55" x14ac:dyDescent="0.25">
      <c r="A7" s="86">
        <f>SUBTOTAL(3,$B$3:B7)</f>
        <v>5</v>
      </c>
      <c r="B7" s="88" t="s">
        <v>66</v>
      </c>
      <c r="C7" s="90" t="s">
        <v>235</v>
      </c>
      <c r="D7" s="16">
        <v>81</v>
      </c>
      <c r="E7" s="11">
        <v>1</v>
      </c>
      <c r="F7" s="2">
        <v>4</v>
      </c>
      <c r="G7" s="12">
        <v>4</v>
      </c>
      <c r="H7" s="11" t="s">
        <v>68</v>
      </c>
      <c r="I7" s="12">
        <f t="shared" si="0"/>
        <v>0</v>
      </c>
      <c r="J7" s="92">
        <f t="shared" si="1"/>
        <v>0</v>
      </c>
      <c r="K7" s="93" t="s">
        <v>69</v>
      </c>
      <c r="L7" s="94">
        <f t="shared" si="2"/>
        <v>66</v>
      </c>
      <c r="M7" s="94">
        <f t="shared" si="3"/>
        <v>51</v>
      </c>
      <c r="N7" s="95">
        <f t="shared" si="4"/>
        <v>3</v>
      </c>
      <c r="O7" s="93">
        <f t="shared" si="23"/>
        <v>22</v>
      </c>
      <c r="P7" s="94">
        <f t="shared" si="24"/>
        <v>21</v>
      </c>
      <c r="Q7" s="94">
        <f t="shared" si="25"/>
        <v>3</v>
      </c>
      <c r="R7" s="94">
        <f t="shared" si="26"/>
        <v>22</v>
      </c>
      <c r="S7" s="94">
        <f t="shared" si="27"/>
        <v>15</v>
      </c>
      <c r="T7" s="94">
        <f t="shared" si="28"/>
        <v>0</v>
      </c>
      <c r="U7" s="94">
        <f t="shared" si="29"/>
        <v>22</v>
      </c>
      <c r="V7" s="94">
        <f t="shared" si="30"/>
        <v>15</v>
      </c>
      <c r="W7" s="95">
        <f t="shared" si="31"/>
        <v>0</v>
      </c>
      <c r="X7" s="10" t="s">
        <v>113</v>
      </c>
      <c r="Y7" s="1" t="s">
        <v>117</v>
      </c>
      <c r="Z7" s="1">
        <f t="shared" si="32"/>
        <v>4</v>
      </c>
      <c r="AA7" s="1">
        <f t="shared" si="32"/>
        <v>4</v>
      </c>
      <c r="AB7" s="1">
        <f t="shared" si="32"/>
        <v>4</v>
      </c>
      <c r="AC7" s="12">
        <f t="shared" si="5"/>
        <v>12</v>
      </c>
      <c r="AD7" s="2" t="s">
        <v>69</v>
      </c>
      <c r="AE7" s="2">
        <f t="shared" si="6"/>
        <v>0</v>
      </c>
      <c r="AF7" s="83" t="s">
        <v>73</v>
      </c>
      <c r="AG7" s="1">
        <f t="shared" si="7"/>
        <v>0</v>
      </c>
      <c r="AH7" s="1">
        <f t="shared" si="8"/>
        <v>0</v>
      </c>
      <c r="AI7" s="1">
        <f t="shared" si="9"/>
        <v>0</v>
      </c>
      <c r="AJ7" s="69">
        <f t="shared" si="10"/>
        <v>0</v>
      </c>
      <c r="AK7" s="11" t="s">
        <v>69</v>
      </c>
      <c r="AL7" s="1">
        <f t="shared" si="11"/>
        <v>0</v>
      </c>
      <c r="AM7" s="1">
        <f t="shared" si="12"/>
        <v>0</v>
      </c>
      <c r="AN7" s="1">
        <f t="shared" si="13"/>
        <v>0</v>
      </c>
      <c r="AO7" s="98">
        <f>Summary[[#This Row],[3*2]]+Summary[[#This Row],[3*22]]+Summary[[#This Row],[3*23]]</f>
        <v>57</v>
      </c>
      <c r="AP7" s="97">
        <f>Summary[[#This Row],[2*2]]+Summary[[#This Row],[2*23]]+Summary[[#This Row],[2*24]]</f>
        <v>52</v>
      </c>
      <c r="AQ7" s="97">
        <f>Summary[[#This Row],[1*2]]+Summary[[#This Row],[1*24]]+Summary[[#This Row],[1*25]]</f>
        <v>6</v>
      </c>
      <c r="AR7" s="97">
        <f t="shared" si="14"/>
        <v>19</v>
      </c>
      <c r="AS7" s="97">
        <f t="shared" si="15"/>
        <v>22</v>
      </c>
      <c r="AT7" s="97">
        <f t="shared" si="16"/>
        <v>6</v>
      </c>
      <c r="AU7" s="97">
        <f t="shared" si="17"/>
        <v>19</v>
      </c>
      <c r="AV7" s="97">
        <f t="shared" si="18"/>
        <v>15</v>
      </c>
      <c r="AW7" s="97">
        <f t="shared" si="19"/>
        <v>0</v>
      </c>
      <c r="AX7" s="97">
        <f t="shared" si="20"/>
        <v>19</v>
      </c>
      <c r="AY7" s="97">
        <f t="shared" si="21"/>
        <v>15</v>
      </c>
      <c r="AZ7" s="97">
        <f t="shared" si="22"/>
        <v>0</v>
      </c>
      <c r="BA7" s="83">
        <f>SUM(Summary[[#This Row],[3* (Tal)]],Summary[[#This Row],[3* (Asc)]])</f>
        <v>57</v>
      </c>
      <c r="BB7" s="1">
        <f>SUM(Summary[[#This Row],[2* (Tal)]],Summary[[#This Row],[2* (Asc)]])</f>
        <v>52</v>
      </c>
      <c r="BC7" s="69">
        <f>SUM(Summary[[#This Row],[1* (Tal)]],Summary[[#This Row],[1* (Asc)]])</f>
        <v>6</v>
      </c>
    </row>
    <row r="8" spans="1:55" x14ac:dyDescent="0.25">
      <c r="A8" s="86">
        <f>SUBTOTAL(3,$B$3:B8)</f>
        <v>6</v>
      </c>
      <c r="B8" s="88" t="s">
        <v>66</v>
      </c>
      <c r="C8" s="90" t="s">
        <v>252</v>
      </c>
      <c r="D8" s="16">
        <v>81</v>
      </c>
      <c r="E8" s="11">
        <v>1</v>
      </c>
      <c r="F8" s="2">
        <v>1</v>
      </c>
      <c r="G8" s="12">
        <v>1</v>
      </c>
      <c r="H8" s="11" t="s">
        <v>68</v>
      </c>
      <c r="I8" s="12">
        <f t="shared" si="0"/>
        <v>0</v>
      </c>
      <c r="J8" s="92">
        <f t="shared" si="1"/>
        <v>0</v>
      </c>
      <c r="K8" s="93" t="s">
        <v>69</v>
      </c>
      <c r="L8" s="94">
        <f t="shared" si="2"/>
        <v>66</v>
      </c>
      <c r="M8" s="94">
        <f t="shared" si="3"/>
        <v>63</v>
      </c>
      <c r="N8" s="95">
        <f t="shared" si="4"/>
        <v>9</v>
      </c>
      <c r="O8" s="93">
        <f t="shared" si="23"/>
        <v>22</v>
      </c>
      <c r="P8" s="94">
        <f t="shared" si="24"/>
        <v>21</v>
      </c>
      <c r="Q8" s="94">
        <f t="shared" si="25"/>
        <v>3</v>
      </c>
      <c r="R8" s="94">
        <f t="shared" si="26"/>
        <v>22</v>
      </c>
      <c r="S8" s="94">
        <f t="shared" si="27"/>
        <v>21</v>
      </c>
      <c r="T8" s="94">
        <f t="shared" si="28"/>
        <v>3</v>
      </c>
      <c r="U8" s="94">
        <f t="shared" si="29"/>
        <v>22</v>
      </c>
      <c r="V8" s="94">
        <f t="shared" si="30"/>
        <v>21</v>
      </c>
      <c r="W8" s="95">
        <f t="shared" si="31"/>
        <v>3</v>
      </c>
      <c r="X8" s="10" t="s">
        <v>97</v>
      </c>
      <c r="Y8" s="1" t="s">
        <v>162</v>
      </c>
      <c r="Z8" s="1">
        <f t="shared" ref="Z8" si="33">(IF(E8&lt;=6,"4",IF(E8&lt;=7,"3",IF(E8&lt;=8,"2","0"))))+0</f>
        <v>4</v>
      </c>
      <c r="AA8" s="1">
        <f t="shared" ref="AA8" si="34">(IF(F8&lt;=6,"4",IF(F8&lt;=7,"3",IF(F8&lt;=8,"2","0"))))+0</f>
        <v>4</v>
      </c>
      <c r="AB8" s="1">
        <f t="shared" ref="AB8" si="35">(IF(G8&lt;=6,"4",IF(G8&lt;=7,"3",IF(G8&lt;=8,"2","0"))))+0</f>
        <v>4</v>
      </c>
      <c r="AC8" s="12">
        <f t="shared" si="5"/>
        <v>12</v>
      </c>
      <c r="AD8" s="2" t="s">
        <v>69</v>
      </c>
      <c r="AE8" s="2">
        <f t="shared" si="6"/>
        <v>0</v>
      </c>
      <c r="AF8" s="83" t="s">
        <v>73</v>
      </c>
      <c r="AG8" s="1">
        <f t="shared" si="7"/>
        <v>0</v>
      </c>
      <c r="AH8" s="1">
        <f t="shared" si="8"/>
        <v>0</v>
      </c>
      <c r="AI8" s="1">
        <f t="shared" si="9"/>
        <v>0</v>
      </c>
      <c r="AJ8" s="69">
        <f t="shared" si="10"/>
        <v>0</v>
      </c>
      <c r="AK8" s="11" t="s">
        <v>69</v>
      </c>
      <c r="AL8" s="1">
        <f t="shared" si="11"/>
        <v>0</v>
      </c>
      <c r="AM8" s="1">
        <f t="shared" si="12"/>
        <v>0</v>
      </c>
      <c r="AN8" s="1">
        <f t="shared" si="13"/>
        <v>0</v>
      </c>
      <c r="AO8" s="98">
        <f>Summary[[#This Row],[3*2]]+Summary[[#This Row],[3*22]]+Summary[[#This Row],[3*23]]</f>
        <v>57</v>
      </c>
      <c r="AP8" s="97">
        <f>Summary[[#This Row],[2*2]]+Summary[[#This Row],[2*23]]+Summary[[#This Row],[2*24]]</f>
        <v>66</v>
      </c>
      <c r="AQ8" s="97">
        <f>Summary[[#This Row],[1*2]]+Summary[[#This Row],[1*24]]+Summary[[#This Row],[1*25]]</f>
        <v>18</v>
      </c>
      <c r="AR8" s="97">
        <f t="shared" si="14"/>
        <v>19</v>
      </c>
      <c r="AS8" s="97">
        <f t="shared" si="15"/>
        <v>22</v>
      </c>
      <c r="AT8" s="97">
        <f t="shared" si="16"/>
        <v>6</v>
      </c>
      <c r="AU8" s="97">
        <f t="shared" si="17"/>
        <v>19</v>
      </c>
      <c r="AV8" s="97">
        <f t="shared" si="18"/>
        <v>22</v>
      </c>
      <c r="AW8" s="97">
        <f t="shared" si="19"/>
        <v>6</v>
      </c>
      <c r="AX8" s="97">
        <f t="shared" si="20"/>
        <v>19</v>
      </c>
      <c r="AY8" s="97">
        <f t="shared" si="21"/>
        <v>22</v>
      </c>
      <c r="AZ8" s="97">
        <f t="shared" si="22"/>
        <v>6</v>
      </c>
      <c r="BA8" s="83">
        <f>SUM(Summary[[#This Row],[3* (Tal)]],Summary[[#This Row],[3* (Asc)]])</f>
        <v>57</v>
      </c>
      <c r="BB8" s="1">
        <f>SUM(Summary[[#This Row],[2* (Tal)]],Summary[[#This Row],[2* (Asc)]])</f>
        <v>66</v>
      </c>
      <c r="BC8" s="69">
        <f>SUM(Summary[[#This Row],[1* (Tal)]],Summary[[#This Row],[1* (Asc)]])</f>
        <v>18</v>
      </c>
    </row>
    <row r="9" spans="1:55" x14ac:dyDescent="0.25">
      <c r="A9" s="86">
        <f>SUBTOTAL(3,$B$3:B9)</f>
        <v>7</v>
      </c>
      <c r="B9" s="88" t="s">
        <v>66</v>
      </c>
      <c r="C9" s="90" t="s">
        <v>277</v>
      </c>
      <c r="D9" s="16">
        <v>81</v>
      </c>
      <c r="E9" s="11" t="s">
        <v>69</v>
      </c>
      <c r="F9" s="2" t="s">
        <v>69</v>
      </c>
      <c r="G9" s="12" t="s">
        <v>69</v>
      </c>
      <c r="H9" s="11" t="s">
        <v>68</v>
      </c>
      <c r="I9" s="12">
        <f t="shared" si="0"/>
        <v>0</v>
      </c>
      <c r="J9" s="92">
        <f t="shared" si="1"/>
        <v>0</v>
      </c>
      <c r="K9" s="93" t="s">
        <v>69</v>
      </c>
      <c r="L9" s="94">
        <f t="shared" si="2"/>
        <v>0</v>
      </c>
      <c r="M9" s="94">
        <f t="shared" si="3"/>
        <v>0</v>
      </c>
      <c r="N9" s="95">
        <f t="shared" si="4"/>
        <v>0</v>
      </c>
      <c r="O9" s="93">
        <f t="shared" si="23"/>
        <v>0</v>
      </c>
      <c r="P9" s="94">
        <f t="shared" si="24"/>
        <v>0</v>
      </c>
      <c r="Q9" s="94">
        <f t="shared" si="25"/>
        <v>0</v>
      </c>
      <c r="R9" s="94">
        <f t="shared" si="26"/>
        <v>0</v>
      </c>
      <c r="S9" s="94">
        <f t="shared" si="27"/>
        <v>0</v>
      </c>
      <c r="T9" s="94">
        <f t="shared" si="28"/>
        <v>0</v>
      </c>
      <c r="U9" s="94">
        <f t="shared" si="29"/>
        <v>0</v>
      </c>
      <c r="V9" s="94">
        <f t="shared" si="30"/>
        <v>0</v>
      </c>
      <c r="W9" s="95">
        <f t="shared" si="31"/>
        <v>0</v>
      </c>
      <c r="X9" s="10" t="s">
        <v>69</v>
      </c>
      <c r="Y9" s="1" t="s">
        <v>69</v>
      </c>
      <c r="Z9" s="1">
        <f t="shared" ref="Z9" si="36">(IF(E9&lt;=6,"4",IF(E9&lt;=7,"3",IF(E9&lt;=8,"2","0"))))+0</f>
        <v>0</v>
      </c>
      <c r="AA9" s="1">
        <f t="shared" ref="AA9" si="37">(IF(F9&lt;=6,"4",IF(F9&lt;=7,"3",IF(F9&lt;=8,"2","0"))))+0</f>
        <v>0</v>
      </c>
      <c r="AB9" s="1">
        <f t="shared" ref="AB9" si="38">(IF(G9&lt;=6,"4",IF(G9&lt;=7,"3",IF(G9&lt;=8,"2","0"))))+0</f>
        <v>0</v>
      </c>
      <c r="AC9" s="12">
        <f t="shared" si="5"/>
        <v>0</v>
      </c>
      <c r="AD9" s="2" t="s">
        <v>69</v>
      </c>
      <c r="AE9" s="2">
        <f t="shared" si="6"/>
        <v>0</v>
      </c>
      <c r="AF9" s="83" t="s">
        <v>73</v>
      </c>
      <c r="AG9" s="1">
        <f t="shared" si="7"/>
        <v>0</v>
      </c>
      <c r="AH9" s="1">
        <f t="shared" si="8"/>
        <v>0</v>
      </c>
      <c r="AI9" s="1">
        <f t="shared" si="9"/>
        <v>0</v>
      </c>
      <c r="AJ9" s="69">
        <f t="shared" si="10"/>
        <v>0</v>
      </c>
      <c r="AK9" s="11" t="s">
        <v>69</v>
      </c>
      <c r="AL9" s="1">
        <f t="shared" si="11"/>
        <v>0</v>
      </c>
      <c r="AM9" s="1">
        <f t="shared" si="12"/>
        <v>0</v>
      </c>
      <c r="AN9" s="1">
        <f t="shared" si="13"/>
        <v>0</v>
      </c>
      <c r="AO9" s="98">
        <f>Summary[[#This Row],[3*2]]+Summary[[#This Row],[3*22]]+Summary[[#This Row],[3*23]]</f>
        <v>0</v>
      </c>
      <c r="AP9" s="97">
        <f>Summary[[#This Row],[2*2]]+Summary[[#This Row],[2*23]]+Summary[[#This Row],[2*24]]</f>
        <v>0</v>
      </c>
      <c r="AQ9" s="97">
        <f>Summary[[#This Row],[1*2]]+Summary[[#This Row],[1*24]]+Summary[[#This Row],[1*25]]</f>
        <v>0</v>
      </c>
      <c r="AR9" s="97">
        <f t="shared" si="14"/>
        <v>0</v>
      </c>
      <c r="AS9" s="97">
        <f t="shared" si="15"/>
        <v>0</v>
      </c>
      <c r="AT9" s="97">
        <f t="shared" si="16"/>
        <v>0</v>
      </c>
      <c r="AU9" s="97">
        <f t="shared" si="17"/>
        <v>0</v>
      </c>
      <c r="AV9" s="97">
        <f t="shared" si="18"/>
        <v>0</v>
      </c>
      <c r="AW9" s="97">
        <f t="shared" si="19"/>
        <v>0</v>
      </c>
      <c r="AX9" s="97">
        <f t="shared" si="20"/>
        <v>0</v>
      </c>
      <c r="AY9" s="97">
        <f t="shared" si="21"/>
        <v>0</v>
      </c>
      <c r="AZ9" s="97">
        <f t="shared" si="22"/>
        <v>0</v>
      </c>
      <c r="BA9" s="83">
        <f>SUM(Summary[[#This Row],[3* (Tal)]],Summary[[#This Row],[3* (Asc)]])</f>
        <v>0</v>
      </c>
      <c r="BB9" s="1">
        <f>SUM(Summary[[#This Row],[2* (Tal)]],Summary[[#This Row],[2* (Asc)]])</f>
        <v>0</v>
      </c>
      <c r="BC9" s="69">
        <f>SUM(Summary[[#This Row],[1* (Tal)]],Summary[[#This Row],[1* (Asc)]])</f>
        <v>0</v>
      </c>
    </row>
    <row r="10" spans="1:55" x14ac:dyDescent="0.25">
      <c r="A10" s="86">
        <f>SUBTOTAL(3,$B$3:B10)</f>
        <v>8</v>
      </c>
      <c r="B10" s="88" t="s">
        <v>236</v>
      </c>
      <c r="C10" s="90" t="s">
        <v>235</v>
      </c>
      <c r="D10" s="16">
        <v>90</v>
      </c>
      <c r="E10" s="11">
        <v>1</v>
      </c>
      <c r="F10" s="2">
        <v>9</v>
      </c>
      <c r="G10" s="12">
        <v>9</v>
      </c>
      <c r="H10" s="83" t="s">
        <v>237</v>
      </c>
      <c r="I10" s="12">
        <f t="shared" si="0"/>
        <v>0</v>
      </c>
      <c r="J10" s="92">
        <f t="shared" si="1"/>
        <v>0</v>
      </c>
      <c r="K10" s="93" t="s">
        <v>116</v>
      </c>
      <c r="L10" s="94">
        <f t="shared" si="2"/>
        <v>22</v>
      </c>
      <c r="M10" s="94">
        <f t="shared" si="3"/>
        <v>21</v>
      </c>
      <c r="N10" s="95">
        <f t="shared" si="4"/>
        <v>3</v>
      </c>
      <c r="O10" s="93">
        <f t="shared" si="23"/>
        <v>22</v>
      </c>
      <c r="P10" s="94">
        <f t="shared" si="24"/>
        <v>21</v>
      </c>
      <c r="Q10" s="94">
        <f t="shared" si="25"/>
        <v>3</v>
      </c>
      <c r="R10" s="94">
        <f t="shared" si="26"/>
        <v>0</v>
      </c>
      <c r="S10" s="94">
        <f t="shared" si="27"/>
        <v>0</v>
      </c>
      <c r="T10" s="94">
        <f t="shared" si="28"/>
        <v>0</v>
      </c>
      <c r="U10" s="94">
        <f t="shared" si="29"/>
        <v>0</v>
      </c>
      <c r="V10" s="94">
        <f t="shared" si="30"/>
        <v>0</v>
      </c>
      <c r="W10" s="95">
        <f t="shared" si="31"/>
        <v>0</v>
      </c>
      <c r="X10" s="10" t="s">
        <v>136</v>
      </c>
      <c r="Y10" s="1" t="s">
        <v>238</v>
      </c>
      <c r="Z10" s="1">
        <f t="shared" ref="Z10:Z41" si="39">(IF(E10&lt;=6,"4",IF(E10&lt;=7,"3",IF(E10&lt;=8,"2","0"))))+0</f>
        <v>4</v>
      </c>
      <c r="AA10" s="1">
        <f t="shared" ref="AA10:AA41" si="40">(IF(F10&lt;=6,"4",IF(F10&lt;=7,"3",IF(F10&lt;=8,"2","0"))))+0</f>
        <v>0</v>
      </c>
      <c r="AB10" s="1">
        <f t="shared" ref="AB10:AB41" si="41">(IF(G10&lt;=6,"4",IF(G10&lt;=7,"3",IF(G10&lt;=8,"2","0"))))+0</f>
        <v>0</v>
      </c>
      <c r="AC10" s="12">
        <f t="shared" si="5"/>
        <v>4</v>
      </c>
      <c r="AD10" s="1" t="s">
        <v>118</v>
      </c>
      <c r="AE10" s="2">
        <f t="shared" si="6"/>
        <v>0</v>
      </c>
      <c r="AF10" s="83" t="s">
        <v>239</v>
      </c>
      <c r="AG10" s="1">
        <f t="shared" si="7"/>
        <v>0</v>
      </c>
      <c r="AH10" s="1">
        <f t="shared" si="8"/>
        <v>0</v>
      </c>
      <c r="AI10" s="1">
        <f t="shared" si="9"/>
        <v>0</v>
      </c>
      <c r="AJ10" s="69">
        <f t="shared" si="10"/>
        <v>0</v>
      </c>
      <c r="AK10" s="83" t="s">
        <v>132</v>
      </c>
      <c r="AL10" s="1">
        <f t="shared" si="11"/>
        <v>0</v>
      </c>
      <c r="AM10" s="1">
        <f t="shared" si="12"/>
        <v>0</v>
      </c>
      <c r="AN10" s="1">
        <f t="shared" si="13"/>
        <v>0</v>
      </c>
      <c r="AO10" s="98">
        <f>Summary[[#This Row],[3*2]]+Summary[[#This Row],[3*22]]+Summary[[#This Row],[3*23]]</f>
        <v>19</v>
      </c>
      <c r="AP10" s="97">
        <f>Summary[[#This Row],[2*2]]+Summary[[#This Row],[2*23]]+Summary[[#This Row],[2*24]]</f>
        <v>22</v>
      </c>
      <c r="AQ10" s="97">
        <f>Summary[[#This Row],[1*2]]+Summary[[#This Row],[1*24]]+Summary[[#This Row],[1*25]]</f>
        <v>6</v>
      </c>
      <c r="AR10" s="97">
        <f t="shared" si="14"/>
        <v>19</v>
      </c>
      <c r="AS10" s="97">
        <f t="shared" si="15"/>
        <v>22</v>
      </c>
      <c r="AT10" s="97">
        <f t="shared" si="16"/>
        <v>6</v>
      </c>
      <c r="AU10" s="97">
        <f t="shared" si="17"/>
        <v>0</v>
      </c>
      <c r="AV10" s="97">
        <f t="shared" si="18"/>
        <v>0</v>
      </c>
      <c r="AW10" s="97">
        <f t="shared" si="19"/>
        <v>0</v>
      </c>
      <c r="AX10" s="97">
        <f t="shared" si="20"/>
        <v>0</v>
      </c>
      <c r="AY10" s="97">
        <f t="shared" si="21"/>
        <v>0</v>
      </c>
      <c r="AZ10" s="97">
        <f t="shared" si="22"/>
        <v>0</v>
      </c>
      <c r="BA10" s="83">
        <f>SUM(Summary[[#This Row],[3* (Tal)]],Summary[[#This Row],[3* (Asc)]])</f>
        <v>19</v>
      </c>
      <c r="BB10" s="1">
        <f>SUM(Summary[[#This Row],[2* (Tal)]],Summary[[#This Row],[2* (Asc)]])</f>
        <v>22</v>
      </c>
      <c r="BC10" s="69">
        <f>SUM(Summary[[#This Row],[1* (Tal)]],Summary[[#This Row],[1* (Asc)]])</f>
        <v>6</v>
      </c>
    </row>
    <row r="11" spans="1:55" x14ac:dyDescent="0.25">
      <c r="A11" s="86">
        <f>SUBTOTAL(3,$B$3:B11)</f>
        <v>9</v>
      </c>
      <c r="B11" s="88" t="s">
        <v>192</v>
      </c>
      <c r="C11" s="90" t="s">
        <v>190</v>
      </c>
      <c r="D11" s="16" t="s">
        <v>69</v>
      </c>
      <c r="E11" s="11" t="s">
        <v>69</v>
      </c>
      <c r="F11" s="2" t="s">
        <v>69</v>
      </c>
      <c r="G11" s="12" t="s">
        <v>69</v>
      </c>
      <c r="H11" s="83" t="s">
        <v>177</v>
      </c>
      <c r="I11" s="12">
        <f t="shared" si="0"/>
        <v>0</v>
      </c>
      <c r="J11" s="92">
        <f t="shared" si="1"/>
        <v>0</v>
      </c>
      <c r="K11" s="93" t="s">
        <v>173</v>
      </c>
      <c r="L11" s="94">
        <f t="shared" si="2"/>
        <v>0</v>
      </c>
      <c r="M11" s="94">
        <f t="shared" si="3"/>
        <v>0</v>
      </c>
      <c r="N11" s="95">
        <f t="shared" si="4"/>
        <v>0</v>
      </c>
      <c r="O11" s="93">
        <f t="shared" si="23"/>
        <v>0</v>
      </c>
      <c r="P11" s="94">
        <f t="shared" si="24"/>
        <v>0</v>
      </c>
      <c r="Q11" s="94">
        <f t="shared" si="25"/>
        <v>0</v>
      </c>
      <c r="R11" s="94">
        <f t="shared" si="26"/>
        <v>0</v>
      </c>
      <c r="S11" s="94">
        <f t="shared" si="27"/>
        <v>0</v>
      </c>
      <c r="T11" s="94">
        <f t="shared" si="28"/>
        <v>0</v>
      </c>
      <c r="U11" s="94">
        <f t="shared" si="29"/>
        <v>0</v>
      </c>
      <c r="V11" s="94">
        <f t="shared" si="30"/>
        <v>0</v>
      </c>
      <c r="W11" s="95">
        <f t="shared" si="31"/>
        <v>0</v>
      </c>
      <c r="X11" s="10" t="s">
        <v>78</v>
      </c>
      <c r="Y11" s="1" t="s">
        <v>174</v>
      </c>
      <c r="Z11" s="1">
        <f t="shared" si="39"/>
        <v>0</v>
      </c>
      <c r="AA11" s="1">
        <f t="shared" si="40"/>
        <v>0</v>
      </c>
      <c r="AB11" s="1">
        <f t="shared" si="41"/>
        <v>0</v>
      </c>
      <c r="AC11" s="12">
        <f t="shared" si="5"/>
        <v>0</v>
      </c>
      <c r="AD11" s="1" t="s">
        <v>193</v>
      </c>
      <c r="AE11" s="2">
        <f t="shared" si="6"/>
        <v>0</v>
      </c>
      <c r="AF11" s="83" t="s">
        <v>194</v>
      </c>
      <c r="AG11" s="1">
        <f t="shared" si="7"/>
        <v>0</v>
      </c>
      <c r="AH11" s="1">
        <f t="shared" si="8"/>
        <v>0</v>
      </c>
      <c r="AI11" s="1">
        <f t="shared" si="9"/>
        <v>0</v>
      </c>
      <c r="AJ11" s="69">
        <f t="shared" si="10"/>
        <v>0</v>
      </c>
      <c r="AK11" s="83" t="s">
        <v>81</v>
      </c>
      <c r="AL11" s="1">
        <f t="shared" si="11"/>
        <v>0</v>
      </c>
      <c r="AM11" s="1">
        <f t="shared" si="12"/>
        <v>0</v>
      </c>
      <c r="AN11" s="1">
        <f t="shared" si="13"/>
        <v>0</v>
      </c>
      <c r="AO11" s="98">
        <f>Summary[[#This Row],[3*2]]+Summary[[#This Row],[3*22]]+Summary[[#This Row],[3*23]]</f>
        <v>0</v>
      </c>
      <c r="AP11" s="97">
        <f>Summary[[#This Row],[2*2]]+Summary[[#This Row],[2*23]]+Summary[[#This Row],[2*24]]</f>
        <v>0</v>
      </c>
      <c r="AQ11" s="97">
        <f>Summary[[#This Row],[1*2]]+Summary[[#This Row],[1*24]]+Summary[[#This Row],[1*25]]</f>
        <v>0</v>
      </c>
      <c r="AR11" s="97">
        <f t="shared" si="14"/>
        <v>0</v>
      </c>
      <c r="AS11" s="97">
        <f t="shared" si="15"/>
        <v>0</v>
      </c>
      <c r="AT11" s="97">
        <f t="shared" si="16"/>
        <v>0</v>
      </c>
      <c r="AU11" s="97">
        <f t="shared" si="17"/>
        <v>0</v>
      </c>
      <c r="AV11" s="97">
        <f t="shared" si="18"/>
        <v>0</v>
      </c>
      <c r="AW11" s="97">
        <f t="shared" si="19"/>
        <v>0</v>
      </c>
      <c r="AX11" s="97">
        <f t="shared" si="20"/>
        <v>0</v>
      </c>
      <c r="AY11" s="97">
        <f t="shared" si="21"/>
        <v>0</v>
      </c>
      <c r="AZ11" s="97">
        <f t="shared" si="22"/>
        <v>0</v>
      </c>
      <c r="BA11" s="83">
        <f>SUM(Summary[[#This Row],[3* (Tal)]],Summary[[#This Row],[3* (Asc)]])</f>
        <v>0</v>
      </c>
      <c r="BB11" s="1">
        <f>SUM(Summary[[#This Row],[2* (Tal)]],Summary[[#This Row],[2* (Asc)]])</f>
        <v>0</v>
      </c>
      <c r="BC11" s="69">
        <f>SUM(Summary[[#This Row],[1* (Tal)]],Summary[[#This Row],[1* (Asc)]])</f>
        <v>0</v>
      </c>
    </row>
    <row r="12" spans="1:55" x14ac:dyDescent="0.25">
      <c r="A12" s="86">
        <f>SUBTOTAL(3,$B$3:B12)</f>
        <v>10</v>
      </c>
      <c r="B12" s="88" t="s">
        <v>140</v>
      </c>
      <c r="C12" s="90" t="s">
        <v>139</v>
      </c>
      <c r="D12" s="16">
        <v>21</v>
      </c>
      <c r="E12" s="11">
        <v>1</v>
      </c>
      <c r="F12" s="2">
        <v>1</v>
      </c>
      <c r="G12" s="12">
        <v>1</v>
      </c>
      <c r="H12" s="83" t="s">
        <v>141</v>
      </c>
      <c r="I12" s="12">
        <f t="shared" si="0"/>
        <v>46</v>
      </c>
      <c r="J12" s="92">
        <f t="shared" si="1"/>
        <v>402</v>
      </c>
      <c r="K12" s="93" t="s">
        <v>112</v>
      </c>
      <c r="L12" s="94">
        <f t="shared" si="2"/>
        <v>66</v>
      </c>
      <c r="M12" s="94">
        <f t="shared" si="3"/>
        <v>63</v>
      </c>
      <c r="N12" s="95">
        <f t="shared" si="4"/>
        <v>9</v>
      </c>
      <c r="O12" s="93">
        <f t="shared" si="23"/>
        <v>22</v>
      </c>
      <c r="P12" s="94">
        <f t="shared" si="24"/>
        <v>21</v>
      </c>
      <c r="Q12" s="94">
        <f t="shared" si="25"/>
        <v>3</v>
      </c>
      <c r="R12" s="94">
        <f t="shared" si="26"/>
        <v>22</v>
      </c>
      <c r="S12" s="94">
        <f t="shared" si="27"/>
        <v>21</v>
      </c>
      <c r="T12" s="94">
        <f t="shared" si="28"/>
        <v>3</v>
      </c>
      <c r="U12" s="94">
        <f t="shared" si="29"/>
        <v>22</v>
      </c>
      <c r="V12" s="94">
        <f t="shared" si="30"/>
        <v>21</v>
      </c>
      <c r="W12" s="95">
        <f t="shared" si="31"/>
        <v>3</v>
      </c>
      <c r="X12" s="10" t="s">
        <v>142</v>
      </c>
      <c r="Y12" s="1" t="s">
        <v>143</v>
      </c>
      <c r="Z12" s="1">
        <f t="shared" si="39"/>
        <v>4</v>
      </c>
      <c r="AA12" s="1">
        <f t="shared" si="40"/>
        <v>4</v>
      </c>
      <c r="AB12" s="1">
        <f t="shared" si="41"/>
        <v>4</v>
      </c>
      <c r="AC12" s="12">
        <f t="shared" si="5"/>
        <v>12</v>
      </c>
      <c r="AD12" s="1" t="s">
        <v>109</v>
      </c>
      <c r="AE12" s="2">
        <f t="shared" si="6"/>
        <v>165</v>
      </c>
      <c r="AF12" s="83" t="s">
        <v>144</v>
      </c>
      <c r="AG12" s="1">
        <f t="shared" si="7"/>
        <v>6</v>
      </c>
      <c r="AH12" s="1">
        <f t="shared" si="8"/>
        <v>9</v>
      </c>
      <c r="AI12" s="1">
        <f t="shared" si="9"/>
        <v>9</v>
      </c>
      <c r="AJ12" s="69">
        <f t="shared" si="10"/>
        <v>0</v>
      </c>
      <c r="AK12" s="83" t="s">
        <v>145</v>
      </c>
      <c r="AL12" s="1">
        <f t="shared" si="11"/>
        <v>36</v>
      </c>
      <c r="AM12" s="1">
        <f t="shared" si="12"/>
        <v>30</v>
      </c>
      <c r="AN12" s="1">
        <f t="shared" si="13"/>
        <v>15</v>
      </c>
      <c r="AO12" s="98">
        <f>Summary[[#This Row],[3*2]]+Summary[[#This Row],[3*22]]+Summary[[#This Row],[3*23]]</f>
        <v>57</v>
      </c>
      <c r="AP12" s="97">
        <f>Summary[[#This Row],[2*2]]+Summary[[#This Row],[2*23]]+Summary[[#This Row],[2*24]]</f>
        <v>66</v>
      </c>
      <c r="AQ12" s="97">
        <f>Summary[[#This Row],[1*2]]+Summary[[#This Row],[1*24]]+Summary[[#This Row],[1*25]]</f>
        <v>18</v>
      </c>
      <c r="AR12" s="97">
        <f t="shared" si="14"/>
        <v>19</v>
      </c>
      <c r="AS12" s="97">
        <f t="shared" si="15"/>
        <v>22</v>
      </c>
      <c r="AT12" s="97">
        <f t="shared" si="16"/>
        <v>6</v>
      </c>
      <c r="AU12" s="97">
        <f t="shared" si="17"/>
        <v>19</v>
      </c>
      <c r="AV12" s="97">
        <f t="shared" si="18"/>
        <v>22</v>
      </c>
      <c r="AW12" s="97">
        <f t="shared" si="19"/>
        <v>6</v>
      </c>
      <c r="AX12" s="97">
        <f t="shared" si="20"/>
        <v>19</v>
      </c>
      <c r="AY12" s="97">
        <f t="shared" si="21"/>
        <v>22</v>
      </c>
      <c r="AZ12" s="97">
        <f t="shared" si="22"/>
        <v>6</v>
      </c>
      <c r="BA12" s="83">
        <f>SUM(Summary[[#This Row],[3* (Tal)]],Summary[[#This Row],[3* (Asc)]])</f>
        <v>93</v>
      </c>
      <c r="BB12" s="1">
        <f>SUM(Summary[[#This Row],[2* (Tal)]],Summary[[#This Row],[2* (Asc)]])</f>
        <v>96</v>
      </c>
      <c r="BC12" s="69">
        <f>SUM(Summary[[#This Row],[1* (Tal)]],Summary[[#This Row],[1* (Asc)]])</f>
        <v>33</v>
      </c>
    </row>
    <row r="13" spans="1:55" x14ac:dyDescent="0.25">
      <c r="A13" s="86">
        <f>SUBTOTAL(3,$B$3:B13)</f>
        <v>11</v>
      </c>
      <c r="B13" s="88" t="s">
        <v>278</v>
      </c>
      <c r="C13" s="90" t="s">
        <v>277</v>
      </c>
      <c r="D13" s="16">
        <v>60</v>
      </c>
      <c r="E13" s="11">
        <v>1</v>
      </c>
      <c r="F13" s="2">
        <v>1</v>
      </c>
      <c r="G13" s="12">
        <v>1</v>
      </c>
      <c r="H13" s="83" t="s">
        <v>279</v>
      </c>
      <c r="I13" s="12">
        <f t="shared" si="0"/>
        <v>40</v>
      </c>
      <c r="J13" s="92">
        <f t="shared" si="1"/>
        <v>312</v>
      </c>
      <c r="K13" s="93" t="s">
        <v>112</v>
      </c>
      <c r="L13" s="94">
        <f t="shared" si="2"/>
        <v>66</v>
      </c>
      <c r="M13" s="94">
        <f t="shared" si="3"/>
        <v>63</v>
      </c>
      <c r="N13" s="95">
        <f t="shared" si="4"/>
        <v>9</v>
      </c>
      <c r="O13" s="93">
        <f t="shared" si="23"/>
        <v>22</v>
      </c>
      <c r="P13" s="94">
        <f t="shared" si="24"/>
        <v>21</v>
      </c>
      <c r="Q13" s="94">
        <f t="shared" si="25"/>
        <v>3</v>
      </c>
      <c r="R13" s="94">
        <f t="shared" si="26"/>
        <v>22</v>
      </c>
      <c r="S13" s="94">
        <f t="shared" si="27"/>
        <v>21</v>
      </c>
      <c r="T13" s="94">
        <f t="shared" si="28"/>
        <v>3</v>
      </c>
      <c r="U13" s="94">
        <f t="shared" si="29"/>
        <v>22</v>
      </c>
      <c r="V13" s="94">
        <f t="shared" si="30"/>
        <v>21</v>
      </c>
      <c r="W13" s="95">
        <f t="shared" si="31"/>
        <v>3</v>
      </c>
      <c r="X13" s="10" t="s">
        <v>70</v>
      </c>
      <c r="Y13" s="1" t="s">
        <v>71</v>
      </c>
      <c r="Z13" s="1">
        <f t="shared" si="39"/>
        <v>4</v>
      </c>
      <c r="AA13" s="1">
        <f t="shared" si="40"/>
        <v>4</v>
      </c>
      <c r="AB13" s="1">
        <f t="shared" si="41"/>
        <v>4</v>
      </c>
      <c r="AC13" s="12">
        <f t="shared" si="5"/>
        <v>12</v>
      </c>
      <c r="AD13" s="1" t="s">
        <v>221</v>
      </c>
      <c r="AE13" s="2">
        <f t="shared" si="6"/>
        <v>135</v>
      </c>
      <c r="AF13" s="83" t="s">
        <v>280</v>
      </c>
      <c r="AG13" s="1">
        <f t="shared" si="7"/>
        <v>6</v>
      </c>
      <c r="AH13" s="1">
        <f t="shared" si="8"/>
        <v>9</v>
      </c>
      <c r="AI13" s="1">
        <f t="shared" si="9"/>
        <v>0</v>
      </c>
      <c r="AJ13" s="69">
        <f t="shared" si="10"/>
        <v>0</v>
      </c>
      <c r="AK13" s="83" t="s">
        <v>157</v>
      </c>
      <c r="AL13" s="1">
        <f t="shared" si="11"/>
        <v>36</v>
      </c>
      <c r="AM13" s="1">
        <f t="shared" si="12"/>
        <v>18</v>
      </c>
      <c r="AN13" s="1">
        <f t="shared" si="13"/>
        <v>0</v>
      </c>
      <c r="AO13" s="98">
        <f>Summary[[#This Row],[3*2]]+Summary[[#This Row],[3*22]]+Summary[[#This Row],[3*23]]</f>
        <v>57</v>
      </c>
      <c r="AP13" s="97">
        <f>Summary[[#This Row],[2*2]]+Summary[[#This Row],[2*23]]+Summary[[#This Row],[2*24]]</f>
        <v>66</v>
      </c>
      <c r="AQ13" s="97">
        <f>Summary[[#This Row],[1*2]]+Summary[[#This Row],[1*24]]+Summary[[#This Row],[1*25]]</f>
        <v>18</v>
      </c>
      <c r="AR13" s="97">
        <f t="shared" si="14"/>
        <v>19</v>
      </c>
      <c r="AS13" s="97">
        <f t="shared" si="15"/>
        <v>22</v>
      </c>
      <c r="AT13" s="97">
        <f t="shared" si="16"/>
        <v>6</v>
      </c>
      <c r="AU13" s="97">
        <f t="shared" si="17"/>
        <v>19</v>
      </c>
      <c r="AV13" s="97">
        <f t="shared" si="18"/>
        <v>22</v>
      </c>
      <c r="AW13" s="97">
        <f t="shared" si="19"/>
        <v>6</v>
      </c>
      <c r="AX13" s="97">
        <f t="shared" si="20"/>
        <v>19</v>
      </c>
      <c r="AY13" s="97">
        <f t="shared" si="21"/>
        <v>22</v>
      </c>
      <c r="AZ13" s="97">
        <f t="shared" si="22"/>
        <v>6</v>
      </c>
      <c r="BA13" s="83">
        <f>SUM(Summary[[#This Row],[3* (Tal)]],Summary[[#This Row],[3* (Asc)]])</f>
        <v>93</v>
      </c>
      <c r="BB13" s="1">
        <f>SUM(Summary[[#This Row],[2* (Tal)]],Summary[[#This Row],[2* (Asc)]])</f>
        <v>84</v>
      </c>
      <c r="BC13" s="69">
        <f>SUM(Summary[[#This Row],[1* (Tal)]],Summary[[#This Row],[1* (Asc)]])</f>
        <v>18</v>
      </c>
    </row>
    <row r="14" spans="1:55" x14ac:dyDescent="0.25">
      <c r="A14" s="86">
        <f>SUBTOTAL(3,$B$3:B14)</f>
        <v>12</v>
      </c>
      <c r="B14" s="88" t="s">
        <v>240</v>
      </c>
      <c r="C14" s="90" t="s">
        <v>235</v>
      </c>
      <c r="D14" s="16" t="s">
        <v>69</v>
      </c>
      <c r="E14" s="11" t="s">
        <v>69</v>
      </c>
      <c r="F14" s="2" t="s">
        <v>69</v>
      </c>
      <c r="G14" s="12" t="s">
        <v>69</v>
      </c>
      <c r="H14" s="83" t="s">
        <v>241</v>
      </c>
      <c r="I14" s="12">
        <f t="shared" si="0"/>
        <v>0</v>
      </c>
      <c r="J14" s="92">
        <f t="shared" si="1"/>
        <v>0</v>
      </c>
      <c r="K14" s="93" t="s">
        <v>169</v>
      </c>
      <c r="L14" s="94">
        <f t="shared" si="2"/>
        <v>0</v>
      </c>
      <c r="M14" s="94">
        <f t="shared" si="3"/>
        <v>0</v>
      </c>
      <c r="N14" s="95">
        <f t="shared" si="4"/>
        <v>0</v>
      </c>
      <c r="O14" s="93">
        <f t="shared" si="23"/>
        <v>0</v>
      </c>
      <c r="P14" s="94">
        <f t="shared" si="24"/>
        <v>0</v>
      </c>
      <c r="Q14" s="94">
        <f t="shared" si="25"/>
        <v>0</v>
      </c>
      <c r="R14" s="94">
        <f t="shared" si="26"/>
        <v>0</v>
      </c>
      <c r="S14" s="94">
        <f t="shared" si="27"/>
        <v>0</v>
      </c>
      <c r="T14" s="94">
        <f t="shared" si="28"/>
        <v>0</v>
      </c>
      <c r="U14" s="94">
        <f t="shared" si="29"/>
        <v>0</v>
      </c>
      <c r="V14" s="94">
        <f t="shared" si="30"/>
        <v>0</v>
      </c>
      <c r="W14" s="95">
        <f t="shared" si="31"/>
        <v>0</v>
      </c>
      <c r="X14" s="10" t="s">
        <v>142</v>
      </c>
      <c r="Y14" s="1" t="s">
        <v>226</v>
      </c>
      <c r="Z14" s="1">
        <f t="shared" si="39"/>
        <v>0</v>
      </c>
      <c r="AA14" s="1">
        <f t="shared" si="40"/>
        <v>0</v>
      </c>
      <c r="AB14" s="1">
        <f t="shared" si="41"/>
        <v>0</v>
      </c>
      <c r="AC14" s="12">
        <f t="shared" si="5"/>
        <v>0</v>
      </c>
      <c r="AD14" s="1" t="s">
        <v>106</v>
      </c>
      <c r="AE14" s="2">
        <f t="shared" si="6"/>
        <v>0</v>
      </c>
      <c r="AF14" s="83" t="s">
        <v>239</v>
      </c>
      <c r="AG14" s="1">
        <f t="shared" si="7"/>
        <v>0</v>
      </c>
      <c r="AH14" s="1">
        <f t="shared" si="8"/>
        <v>0</v>
      </c>
      <c r="AI14" s="1">
        <f t="shared" si="9"/>
        <v>0</v>
      </c>
      <c r="AJ14" s="69">
        <f t="shared" si="10"/>
        <v>0</v>
      </c>
      <c r="AK14" s="83" t="s">
        <v>119</v>
      </c>
      <c r="AL14" s="1">
        <f t="shared" si="11"/>
        <v>0</v>
      </c>
      <c r="AM14" s="1">
        <f t="shared" si="12"/>
        <v>0</v>
      </c>
      <c r="AN14" s="1">
        <f t="shared" si="13"/>
        <v>0</v>
      </c>
      <c r="AO14" s="98">
        <f>Summary[[#This Row],[3*2]]+Summary[[#This Row],[3*22]]+Summary[[#This Row],[3*23]]</f>
        <v>0</v>
      </c>
      <c r="AP14" s="97">
        <f>Summary[[#This Row],[2*2]]+Summary[[#This Row],[2*23]]+Summary[[#This Row],[2*24]]</f>
        <v>0</v>
      </c>
      <c r="AQ14" s="97">
        <f>Summary[[#This Row],[1*2]]+Summary[[#This Row],[1*24]]+Summary[[#This Row],[1*25]]</f>
        <v>0</v>
      </c>
      <c r="AR14" s="97">
        <f t="shared" si="14"/>
        <v>0</v>
      </c>
      <c r="AS14" s="97">
        <f t="shared" si="15"/>
        <v>0</v>
      </c>
      <c r="AT14" s="97">
        <f t="shared" si="16"/>
        <v>0</v>
      </c>
      <c r="AU14" s="97">
        <f t="shared" si="17"/>
        <v>0</v>
      </c>
      <c r="AV14" s="97">
        <f t="shared" si="18"/>
        <v>0</v>
      </c>
      <c r="AW14" s="97">
        <f t="shared" si="19"/>
        <v>0</v>
      </c>
      <c r="AX14" s="97">
        <f t="shared" si="20"/>
        <v>0</v>
      </c>
      <c r="AY14" s="97">
        <f t="shared" si="21"/>
        <v>0</v>
      </c>
      <c r="AZ14" s="97">
        <f t="shared" si="22"/>
        <v>0</v>
      </c>
      <c r="BA14" s="83">
        <f>SUM(Summary[[#This Row],[3* (Tal)]],Summary[[#This Row],[3* (Asc)]])</f>
        <v>0</v>
      </c>
      <c r="BB14" s="1">
        <f>SUM(Summary[[#This Row],[2* (Tal)]],Summary[[#This Row],[2* (Asc)]])</f>
        <v>0</v>
      </c>
      <c r="BC14" s="69">
        <f>SUM(Summary[[#This Row],[1* (Tal)]],Summary[[#This Row],[1* (Asc)]])</f>
        <v>0</v>
      </c>
    </row>
    <row r="15" spans="1:55" x14ac:dyDescent="0.25">
      <c r="A15" s="86">
        <f>SUBTOTAL(3,$B$3:B15)</f>
        <v>13</v>
      </c>
      <c r="B15" s="88" t="s">
        <v>195</v>
      </c>
      <c r="C15" s="90" t="s">
        <v>190</v>
      </c>
      <c r="D15" s="16">
        <v>90</v>
      </c>
      <c r="E15" s="11">
        <v>1</v>
      </c>
      <c r="F15" s="2">
        <v>9</v>
      </c>
      <c r="G15" s="12">
        <v>9</v>
      </c>
      <c r="H15" s="83" t="s">
        <v>196</v>
      </c>
      <c r="I15" s="12">
        <f t="shared" si="0"/>
        <v>0</v>
      </c>
      <c r="J15" s="92">
        <f t="shared" si="1"/>
        <v>0</v>
      </c>
      <c r="K15" s="93" t="s">
        <v>128</v>
      </c>
      <c r="L15" s="94">
        <f t="shared" si="2"/>
        <v>22</v>
      </c>
      <c r="M15" s="94">
        <f t="shared" si="3"/>
        <v>21</v>
      </c>
      <c r="N15" s="95">
        <f t="shared" si="4"/>
        <v>3</v>
      </c>
      <c r="O15" s="93">
        <f t="shared" si="23"/>
        <v>22</v>
      </c>
      <c r="P15" s="94">
        <f t="shared" si="24"/>
        <v>21</v>
      </c>
      <c r="Q15" s="94">
        <f t="shared" si="25"/>
        <v>3</v>
      </c>
      <c r="R15" s="94">
        <f t="shared" si="26"/>
        <v>0</v>
      </c>
      <c r="S15" s="94">
        <f t="shared" si="27"/>
        <v>0</v>
      </c>
      <c r="T15" s="94">
        <f t="shared" si="28"/>
        <v>0</v>
      </c>
      <c r="U15" s="94">
        <f t="shared" si="29"/>
        <v>0</v>
      </c>
      <c r="V15" s="94">
        <f t="shared" si="30"/>
        <v>0</v>
      </c>
      <c r="W15" s="95">
        <f t="shared" si="31"/>
        <v>0</v>
      </c>
      <c r="X15" s="10" t="s">
        <v>97</v>
      </c>
      <c r="Y15" s="1" t="s">
        <v>162</v>
      </c>
      <c r="Z15" s="1">
        <f t="shared" si="39"/>
        <v>4</v>
      </c>
      <c r="AA15" s="1">
        <f t="shared" si="40"/>
        <v>0</v>
      </c>
      <c r="AB15" s="1">
        <f t="shared" si="41"/>
        <v>0</v>
      </c>
      <c r="AC15" s="12">
        <f t="shared" si="5"/>
        <v>4</v>
      </c>
      <c r="AD15" s="1" t="s">
        <v>181</v>
      </c>
      <c r="AE15" s="2">
        <f t="shared" si="6"/>
        <v>0</v>
      </c>
      <c r="AF15" s="83" t="s">
        <v>194</v>
      </c>
      <c r="AG15" s="1">
        <f t="shared" si="7"/>
        <v>0</v>
      </c>
      <c r="AH15" s="1">
        <f t="shared" si="8"/>
        <v>0</v>
      </c>
      <c r="AI15" s="1">
        <f t="shared" si="9"/>
        <v>0</v>
      </c>
      <c r="AJ15" s="69">
        <f t="shared" si="10"/>
        <v>0</v>
      </c>
      <c r="AK15" s="83" t="s">
        <v>197</v>
      </c>
      <c r="AL15" s="1">
        <f t="shared" si="11"/>
        <v>0</v>
      </c>
      <c r="AM15" s="1">
        <f t="shared" si="12"/>
        <v>0</v>
      </c>
      <c r="AN15" s="1">
        <f t="shared" si="13"/>
        <v>0</v>
      </c>
      <c r="AO15" s="98">
        <f>Summary[[#This Row],[3*2]]+Summary[[#This Row],[3*22]]+Summary[[#This Row],[3*23]]</f>
        <v>19</v>
      </c>
      <c r="AP15" s="97">
        <f>Summary[[#This Row],[2*2]]+Summary[[#This Row],[2*23]]+Summary[[#This Row],[2*24]]</f>
        <v>22</v>
      </c>
      <c r="AQ15" s="97">
        <f>Summary[[#This Row],[1*2]]+Summary[[#This Row],[1*24]]+Summary[[#This Row],[1*25]]</f>
        <v>6</v>
      </c>
      <c r="AR15" s="97">
        <f t="shared" si="14"/>
        <v>19</v>
      </c>
      <c r="AS15" s="97">
        <f t="shared" si="15"/>
        <v>22</v>
      </c>
      <c r="AT15" s="97">
        <f t="shared" si="16"/>
        <v>6</v>
      </c>
      <c r="AU15" s="97">
        <f t="shared" si="17"/>
        <v>0</v>
      </c>
      <c r="AV15" s="97">
        <f t="shared" si="18"/>
        <v>0</v>
      </c>
      <c r="AW15" s="97">
        <f t="shared" si="19"/>
        <v>0</v>
      </c>
      <c r="AX15" s="97">
        <f t="shared" si="20"/>
        <v>0</v>
      </c>
      <c r="AY15" s="97">
        <f t="shared" si="21"/>
        <v>0</v>
      </c>
      <c r="AZ15" s="97">
        <f t="shared" si="22"/>
        <v>0</v>
      </c>
      <c r="BA15" s="83">
        <f>SUM(Summary[[#This Row],[3* (Tal)]],Summary[[#This Row],[3* (Asc)]])</f>
        <v>19</v>
      </c>
      <c r="BB15" s="1">
        <f>SUM(Summary[[#This Row],[2* (Tal)]],Summary[[#This Row],[2* (Asc)]])</f>
        <v>22</v>
      </c>
      <c r="BC15" s="69">
        <f>SUM(Summary[[#This Row],[1* (Tal)]],Summary[[#This Row],[1* (Asc)]])</f>
        <v>6</v>
      </c>
    </row>
    <row r="16" spans="1:55" x14ac:dyDescent="0.25">
      <c r="A16" s="86">
        <f>SUBTOTAL(3,$B$3:B16)</f>
        <v>14</v>
      </c>
      <c r="B16" s="88" t="s">
        <v>253</v>
      </c>
      <c r="C16" s="90" t="s">
        <v>252</v>
      </c>
      <c r="D16" s="16">
        <v>81</v>
      </c>
      <c r="E16" s="11">
        <v>1</v>
      </c>
      <c r="F16" s="2">
        <v>5</v>
      </c>
      <c r="G16" s="12">
        <v>5</v>
      </c>
      <c r="H16" s="83" t="s">
        <v>254</v>
      </c>
      <c r="I16" s="12">
        <f t="shared" si="0"/>
        <v>0</v>
      </c>
      <c r="J16" s="92">
        <f t="shared" si="1"/>
        <v>0</v>
      </c>
      <c r="K16" s="93" t="s">
        <v>112</v>
      </c>
      <c r="L16" s="94">
        <f t="shared" si="2"/>
        <v>66</v>
      </c>
      <c r="M16" s="94">
        <f t="shared" si="3"/>
        <v>39</v>
      </c>
      <c r="N16" s="95">
        <f t="shared" si="4"/>
        <v>3</v>
      </c>
      <c r="O16" s="93">
        <f t="shared" si="23"/>
        <v>22</v>
      </c>
      <c r="P16" s="94">
        <f t="shared" si="24"/>
        <v>21</v>
      </c>
      <c r="Q16" s="94">
        <f t="shared" si="25"/>
        <v>3</v>
      </c>
      <c r="R16" s="94">
        <f t="shared" si="26"/>
        <v>22</v>
      </c>
      <c r="S16" s="94">
        <f t="shared" si="27"/>
        <v>9</v>
      </c>
      <c r="T16" s="94">
        <f t="shared" si="28"/>
        <v>0</v>
      </c>
      <c r="U16" s="94">
        <f t="shared" si="29"/>
        <v>22</v>
      </c>
      <c r="V16" s="94">
        <f t="shared" si="30"/>
        <v>9</v>
      </c>
      <c r="W16" s="95">
        <f t="shared" si="31"/>
        <v>0</v>
      </c>
      <c r="X16" s="10" t="s">
        <v>113</v>
      </c>
      <c r="Y16" s="1" t="s">
        <v>223</v>
      </c>
      <c r="Z16" s="1">
        <f t="shared" si="39"/>
        <v>4</v>
      </c>
      <c r="AA16" s="1">
        <f t="shared" si="40"/>
        <v>4</v>
      </c>
      <c r="AB16" s="1">
        <f t="shared" si="41"/>
        <v>4</v>
      </c>
      <c r="AC16" s="12">
        <f t="shared" si="5"/>
        <v>12</v>
      </c>
      <c r="AD16" s="1" t="s">
        <v>255</v>
      </c>
      <c r="AE16" s="2">
        <f t="shared" si="6"/>
        <v>0</v>
      </c>
      <c r="AF16" s="83" t="s">
        <v>256</v>
      </c>
      <c r="AG16" s="1">
        <f t="shared" si="7"/>
        <v>0</v>
      </c>
      <c r="AH16" s="1">
        <f t="shared" si="8"/>
        <v>0</v>
      </c>
      <c r="AI16" s="1">
        <f t="shared" si="9"/>
        <v>0</v>
      </c>
      <c r="AJ16" s="69">
        <f t="shared" si="10"/>
        <v>0</v>
      </c>
      <c r="AK16" s="83" t="s">
        <v>132</v>
      </c>
      <c r="AL16" s="1">
        <f t="shared" si="11"/>
        <v>0</v>
      </c>
      <c r="AM16" s="1">
        <f t="shared" si="12"/>
        <v>0</v>
      </c>
      <c r="AN16" s="1">
        <f t="shared" si="13"/>
        <v>0</v>
      </c>
      <c r="AO16" s="98">
        <f>Summary[[#This Row],[3*2]]+Summary[[#This Row],[3*22]]+Summary[[#This Row],[3*23]]</f>
        <v>57</v>
      </c>
      <c r="AP16" s="97">
        <f>Summary[[#This Row],[2*2]]+Summary[[#This Row],[2*23]]+Summary[[#This Row],[2*24]]</f>
        <v>40</v>
      </c>
      <c r="AQ16" s="97">
        <f>Summary[[#This Row],[1*2]]+Summary[[#This Row],[1*24]]+Summary[[#This Row],[1*25]]</f>
        <v>6</v>
      </c>
      <c r="AR16" s="97">
        <f t="shared" si="14"/>
        <v>19</v>
      </c>
      <c r="AS16" s="97">
        <f t="shared" si="15"/>
        <v>22</v>
      </c>
      <c r="AT16" s="97">
        <f t="shared" si="16"/>
        <v>6</v>
      </c>
      <c r="AU16" s="97">
        <f t="shared" si="17"/>
        <v>19</v>
      </c>
      <c r="AV16" s="97">
        <f t="shared" si="18"/>
        <v>9</v>
      </c>
      <c r="AW16" s="97">
        <f t="shared" si="19"/>
        <v>0</v>
      </c>
      <c r="AX16" s="97">
        <f t="shared" si="20"/>
        <v>19</v>
      </c>
      <c r="AY16" s="97">
        <f t="shared" si="21"/>
        <v>9</v>
      </c>
      <c r="AZ16" s="97">
        <f t="shared" si="22"/>
        <v>0</v>
      </c>
      <c r="BA16" s="83">
        <f>SUM(Summary[[#This Row],[3* (Tal)]],Summary[[#This Row],[3* (Asc)]])</f>
        <v>57</v>
      </c>
      <c r="BB16" s="1">
        <f>SUM(Summary[[#This Row],[2* (Tal)]],Summary[[#This Row],[2* (Asc)]])</f>
        <v>40</v>
      </c>
      <c r="BC16" s="69">
        <f>SUM(Summary[[#This Row],[1* (Tal)]],Summary[[#This Row],[1* (Asc)]])</f>
        <v>6</v>
      </c>
    </row>
    <row r="17" spans="1:55" x14ac:dyDescent="0.25">
      <c r="A17" s="86">
        <f>SUBTOTAL(3,$B$3:B17)</f>
        <v>15</v>
      </c>
      <c r="B17" s="88" t="s">
        <v>214</v>
      </c>
      <c r="C17" s="90" t="s">
        <v>212</v>
      </c>
      <c r="D17" s="16">
        <v>51</v>
      </c>
      <c r="E17" s="11">
        <v>1</v>
      </c>
      <c r="F17" s="2">
        <v>1</v>
      </c>
      <c r="G17" s="12">
        <v>1</v>
      </c>
      <c r="H17" s="83" t="s">
        <v>215</v>
      </c>
      <c r="I17" s="12">
        <f t="shared" si="0"/>
        <v>40</v>
      </c>
      <c r="J17" s="92">
        <f t="shared" si="1"/>
        <v>312</v>
      </c>
      <c r="K17" s="93" t="s">
        <v>128</v>
      </c>
      <c r="L17" s="94">
        <f t="shared" si="2"/>
        <v>66</v>
      </c>
      <c r="M17" s="94">
        <f t="shared" si="3"/>
        <v>63</v>
      </c>
      <c r="N17" s="95">
        <f t="shared" si="4"/>
        <v>9</v>
      </c>
      <c r="O17" s="93">
        <f t="shared" si="23"/>
        <v>22</v>
      </c>
      <c r="P17" s="94">
        <f t="shared" si="24"/>
        <v>21</v>
      </c>
      <c r="Q17" s="94">
        <f t="shared" si="25"/>
        <v>3</v>
      </c>
      <c r="R17" s="94">
        <f t="shared" si="26"/>
        <v>22</v>
      </c>
      <c r="S17" s="94">
        <f t="shared" si="27"/>
        <v>21</v>
      </c>
      <c r="T17" s="94">
        <f t="shared" si="28"/>
        <v>3</v>
      </c>
      <c r="U17" s="94">
        <f t="shared" si="29"/>
        <v>22</v>
      </c>
      <c r="V17" s="94">
        <f t="shared" si="30"/>
        <v>21</v>
      </c>
      <c r="W17" s="95">
        <f t="shared" si="31"/>
        <v>3</v>
      </c>
      <c r="X17" s="10" t="s">
        <v>70</v>
      </c>
      <c r="Y17" s="1" t="s">
        <v>71</v>
      </c>
      <c r="Z17" s="1">
        <f t="shared" si="39"/>
        <v>4</v>
      </c>
      <c r="AA17" s="1">
        <f t="shared" si="40"/>
        <v>4</v>
      </c>
      <c r="AB17" s="1">
        <f t="shared" si="41"/>
        <v>4</v>
      </c>
      <c r="AC17" s="12">
        <f t="shared" si="5"/>
        <v>12</v>
      </c>
      <c r="AD17" s="1" t="s">
        <v>216</v>
      </c>
      <c r="AE17" s="2">
        <f t="shared" si="6"/>
        <v>135</v>
      </c>
      <c r="AF17" s="83" t="s">
        <v>217</v>
      </c>
      <c r="AG17" s="1">
        <f t="shared" si="7"/>
        <v>6</v>
      </c>
      <c r="AH17" s="1">
        <f t="shared" si="8"/>
        <v>9</v>
      </c>
      <c r="AI17" s="1">
        <f t="shared" si="9"/>
        <v>0</v>
      </c>
      <c r="AJ17" s="69">
        <f t="shared" si="10"/>
        <v>0</v>
      </c>
      <c r="AK17" s="83" t="s">
        <v>93</v>
      </c>
      <c r="AL17" s="1">
        <f t="shared" si="11"/>
        <v>36</v>
      </c>
      <c r="AM17" s="1">
        <f t="shared" si="12"/>
        <v>18</v>
      </c>
      <c r="AN17" s="1">
        <f t="shared" si="13"/>
        <v>0</v>
      </c>
      <c r="AO17" s="98">
        <f>Summary[[#This Row],[3*2]]+Summary[[#This Row],[3*22]]+Summary[[#This Row],[3*23]]</f>
        <v>57</v>
      </c>
      <c r="AP17" s="97">
        <f>Summary[[#This Row],[2*2]]+Summary[[#This Row],[2*23]]+Summary[[#This Row],[2*24]]</f>
        <v>66</v>
      </c>
      <c r="AQ17" s="97">
        <f>Summary[[#This Row],[1*2]]+Summary[[#This Row],[1*24]]+Summary[[#This Row],[1*25]]</f>
        <v>18</v>
      </c>
      <c r="AR17" s="97">
        <f t="shared" si="14"/>
        <v>19</v>
      </c>
      <c r="AS17" s="97">
        <f t="shared" si="15"/>
        <v>22</v>
      </c>
      <c r="AT17" s="97">
        <f t="shared" si="16"/>
        <v>6</v>
      </c>
      <c r="AU17" s="97">
        <f t="shared" si="17"/>
        <v>19</v>
      </c>
      <c r="AV17" s="97">
        <f t="shared" si="18"/>
        <v>22</v>
      </c>
      <c r="AW17" s="97">
        <f t="shared" si="19"/>
        <v>6</v>
      </c>
      <c r="AX17" s="97">
        <f t="shared" si="20"/>
        <v>19</v>
      </c>
      <c r="AY17" s="97">
        <f t="shared" si="21"/>
        <v>22</v>
      </c>
      <c r="AZ17" s="97">
        <f t="shared" si="22"/>
        <v>6</v>
      </c>
      <c r="BA17" s="83">
        <f>SUM(Summary[[#This Row],[3* (Tal)]],Summary[[#This Row],[3* (Asc)]])</f>
        <v>93</v>
      </c>
      <c r="BB17" s="1">
        <f>SUM(Summary[[#This Row],[2* (Tal)]],Summary[[#This Row],[2* (Asc)]])</f>
        <v>84</v>
      </c>
      <c r="BC17" s="69">
        <f>SUM(Summary[[#This Row],[1* (Tal)]],Summary[[#This Row],[1* (Asc)]])</f>
        <v>18</v>
      </c>
    </row>
    <row r="18" spans="1:55" x14ac:dyDescent="0.25">
      <c r="A18" s="86">
        <f>SUBTOTAL(3,$B$3:B18)</f>
        <v>16</v>
      </c>
      <c r="B18" s="88" t="s">
        <v>281</v>
      </c>
      <c r="C18" s="90" t="s">
        <v>277</v>
      </c>
      <c r="D18" s="16">
        <v>90</v>
      </c>
      <c r="E18" s="11">
        <v>1</v>
      </c>
      <c r="F18" s="2">
        <v>7</v>
      </c>
      <c r="G18" s="12">
        <v>10</v>
      </c>
      <c r="H18" s="83" t="s">
        <v>279</v>
      </c>
      <c r="I18" s="12">
        <f t="shared" si="0"/>
        <v>0</v>
      </c>
      <c r="J18" s="92">
        <f t="shared" si="1"/>
        <v>0</v>
      </c>
      <c r="K18" s="93" t="s">
        <v>84</v>
      </c>
      <c r="L18" s="94">
        <f t="shared" si="2"/>
        <v>40</v>
      </c>
      <c r="M18" s="94">
        <f t="shared" si="3"/>
        <v>21</v>
      </c>
      <c r="N18" s="95">
        <f t="shared" si="4"/>
        <v>3</v>
      </c>
      <c r="O18" s="93">
        <f t="shared" si="23"/>
        <v>22</v>
      </c>
      <c r="P18" s="94">
        <f t="shared" si="24"/>
        <v>21</v>
      </c>
      <c r="Q18" s="94">
        <f t="shared" si="25"/>
        <v>3</v>
      </c>
      <c r="R18" s="94">
        <f t="shared" si="26"/>
        <v>18</v>
      </c>
      <c r="S18" s="94">
        <f t="shared" si="27"/>
        <v>0</v>
      </c>
      <c r="T18" s="94">
        <f t="shared" si="28"/>
        <v>0</v>
      </c>
      <c r="U18" s="94">
        <f t="shared" si="29"/>
        <v>0</v>
      </c>
      <c r="V18" s="94">
        <f t="shared" si="30"/>
        <v>0</v>
      </c>
      <c r="W18" s="95">
        <f t="shared" si="31"/>
        <v>0</v>
      </c>
      <c r="X18" s="10" t="s">
        <v>70</v>
      </c>
      <c r="Y18" s="1" t="s">
        <v>85</v>
      </c>
      <c r="Z18" s="1">
        <f t="shared" si="39"/>
        <v>4</v>
      </c>
      <c r="AA18" s="1">
        <f t="shared" si="40"/>
        <v>3</v>
      </c>
      <c r="AB18" s="1">
        <f t="shared" si="41"/>
        <v>0</v>
      </c>
      <c r="AC18" s="12">
        <f t="shared" si="5"/>
        <v>7</v>
      </c>
      <c r="AD18" s="1" t="s">
        <v>72</v>
      </c>
      <c r="AE18" s="2">
        <f t="shared" si="6"/>
        <v>0</v>
      </c>
      <c r="AF18" s="83" t="s">
        <v>280</v>
      </c>
      <c r="AG18" s="1">
        <f t="shared" si="7"/>
        <v>0</v>
      </c>
      <c r="AH18" s="1">
        <f t="shared" si="8"/>
        <v>0</v>
      </c>
      <c r="AI18" s="1">
        <f t="shared" si="9"/>
        <v>0</v>
      </c>
      <c r="AJ18" s="69">
        <f t="shared" si="10"/>
        <v>0</v>
      </c>
      <c r="AK18" s="83" t="s">
        <v>93</v>
      </c>
      <c r="AL18" s="1">
        <f t="shared" si="11"/>
        <v>0</v>
      </c>
      <c r="AM18" s="1">
        <f t="shared" si="12"/>
        <v>0</v>
      </c>
      <c r="AN18" s="1">
        <f t="shared" si="13"/>
        <v>0</v>
      </c>
      <c r="AO18" s="98">
        <f>Summary[[#This Row],[3*2]]+Summary[[#This Row],[3*22]]+Summary[[#This Row],[3*23]]</f>
        <v>37</v>
      </c>
      <c r="AP18" s="97">
        <f>Summary[[#This Row],[2*2]]+Summary[[#This Row],[2*23]]+Summary[[#This Row],[2*24]]</f>
        <v>22</v>
      </c>
      <c r="AQ18" s="97">
        <f>Summary[[#This Row],[1*2]]+Summary[[#This Row],[1*24]]+Summary[[#This Row],[1*25]]</f>
        <v>6</v>
      </c>
      <c r="AR18" s="97">
        <f t="shared" si="14"/>
        <v>19</v>
      </c>
      <c r="AS18" s="97">
        <f t="shared" si="15"/>
        <v>22</v>
      </c>
      <c r="AT18" s="97">
        <f t="shared" si="16"/>
        <v>6</v>
      </c>
      <c r="AU18" s="97">
        <f t="shared" si="17"/>
        <v>18</v>
      </c>
      <c r="AV18" s="97">
        <f t="shared" si="18"/>
        <v>0</v>
      </c>
      <c r="AW18" s="97">
        <f t="shared" si="19"/>
        <v>0</v>
      </c>
      <c r="AX18" s="97">
        <f t="shared" si="20"/>
        <v>0</v>
      </c>
      <c r="AY18" s="97">
        <f t="shared" si="21"/>
        <v>0</v>
      </c>
      <c r="AZ18" s="97">
        <f t="shared" si="22"/>
        <v>0</v>
      </c>
      <c r="BA18" s="83">
        <f>SUM(Summary[[#This Row],[3* (Tal)]],Summary[[#This Row],[3* (Asc)]])</f>
        <v>37</v>
      </c>
      <c r="BB18" s="1">
        <f>SUM(Summary[[#This Row],[2* (Tal)]],Summary[[#This Row],[2* (Asc)]])</f>
        <v>22</v>
      </c>
      <c r="BC18" s="69">
        <f>SUM(Summary[[#This Row],[1* (Tal)]],Summary[[#This Row],[1* (Asc)]])</f>
        <v>6</v>
      </c>
    </row>
    <row r="19" spans="1:55" x14ac:dyDescent="0.25">
      <c r="A19" s="86">
        <f>SUBTOTAL(3,$B$3:B19)</f>
        <v>17</v>
      </c>
      <c r="B19" s="88" t="s">
        <v>257</v>
      </c>
      <c r="C19" s="90" t="s">
        <v>252</v>
      </c>
      <c r="D19" s="16">
        <v>21</v>
      </c>
      <c r="E19" s="11">
        <v>1</v>
      </c>
      <c r="F19" s="2">
        <v>1</v>
      </c>
      <c r="G19" s="12">
        <v>1</v>
      </c>
      <c r="H19" s="83" t="s">
        <v>76</v>
      </c>
      <c r="I19" s="12">
        <f t="shared" si="0"/>
        <v>46</v>
      </c>
      <c r="J19" s="92">
        <f t="shared" si="1"/>
        <v>402</v>
      </c>
      <c r="K19" s="93" t="s">
        <v>77</v>
      </c>
      <c r="L19" s="94">
        <f t="shared" si="2"/>
        <v>66</v>
      </c>
      <c r="M19" s="94">
        <f t="shared" si="3"/>
        <v>63</v>
      </c>
      <c r="N19" s="95">
        <f t="shared" si="4"/>
        <v>9</v>
      </c>
      <c r="O19" s="93">
        <f t="shared" si="23"/>
        <v>22</v>
      </c>
      <c r="P19" s="94">
        <f t="shared" si="24"/>
        <v>21</v>
      </c>
      <c r="Q19" s="94">
        <f t="shared" si="25"/>
        <v>3</v>
      </c>
      <c r="R19" s="94">
        <f t="shared" si="26"/>
        <v>22</v>
      </c>
      <c r="S19" s="94">
        <f t="shared" si="27"/>
        <v>21</v>
      </c>
      <c r="T19" s="94">
        <f t="shared" si="28"/>
        <v>3</v>
      </c>
      <c r="U19" s="94">
        <f t="shared" si="29"/>
        <v>22</v>
      </c>
      <c r="V19" s="94">
        <f t="shared" si="30"/>
        <v>21</v>
      </c>
      <c r="W19" s="95">
        <f t="shared" si="31"/>
        <v>3</v>
      </c>
      <c r="X19" s="10" t="s">
        <v>104</v>
      </c>
      <c r="Y19" s="1" t="s">
        <v>200</v>
      </c>
      <c r="Z19" s="1">
        <f t="shared" si="39"/>
        <v>4</v>
      </c>
      <c r="AA19" s="1">
        <f t="shared" si="40"/>
        <v>4</v>
      </c>
      <c r="AB19" s="1">
        <f t="shared" si="41"/>
        <v>4</v>
      </c>
      <c r="AC19" s="12">
        <f t="shared" si="5"/>
        <v>12</v>
      </c>
      <c r="AD19" s="1" t="s">
        <v>258</v>
      </c>
      <c r="AE19" s="2">
        <f t="shared" si="6"/>
        <v>165</v>
      </c>
      <c r="AF19" s="83" t="s">
        <v>256</v>
      </c>
      <c r="AG19" s="1">
        <f t="shared" si="7"/>
        <v>6</v>
      </c>
      <c r="AH19" s="1">
        <f t="shared" si="8"/>
        <v>9</v>
      </c>
      <c r="AI19" s="1">
        <f t="shared" si="9"/>
        <v>9</v>
      </c>
      <c r="AJ19" s="69">
        <f t="shared" si="10"/>
        <v>0</v>
      </c>
      <c r="AK19" s="83" t="s">
        <v>81</v>
      </c>
      <c r="AL19" s="1">
        <f t="shared" si="11"/>
        <v>36</v>
      </c>
      <c r="AM19" s="1">
        <f t="shared" si="12"/>
        <v>30</v>
      </c>
      <c r="AN19" s="1">
        <f t="shared" si="13"/>
        <v>15</v>
      </c>
      <c r="AO19" s="98">
        <f>Summary[[#This Row],[3*2]]+Summary[[#This Row],[3*22]]+Summary[[#This Row],[3*23]]</f>
        <v>57</v>
      </c>
      <c r="AP19" s="97">
        <f>Summary[[#This Row],[2*2]]+Summary[[#This Row],[2*23]]+Summary[[#This Row],[2*24]]</f>
        <v>66</v>
      </c>
      <c r="AQ19" s="97">
        <f>Summary[[#This Row],[1*2]]+Summary[[#This Row],[1*24]]+Summary[[#This Row],[1*25]]</f>
        <v>18</v>
      </c>
      <c r="AR19" s="97">
        <f t="shared" si="14"/>
        <v>19</v>
      </c>
      <c r="AS19" s="97">
        <f t="shared" si="15"/>
        <v>22</v>
      </c>
      <c r="AT19" s="97">
        <f t="shared" si="16"/>
        <v>6</v>
      </c>
      <c r="AU19" s="97">
        <f t="shared" si="17"/>
        <v>19</v>
      </c>
      <c r="AV19" s="97">
        <f t="shared" si="18"/>
        <v>22</v>
      </c>
      <c r="AW19" s="97">
        <f t="shared" si="19"/>
        <v>6</v>
      </c>
      <c r="AX19" s="97">
        <f t="shared" si="20"/>
        <v>19</v>
      </c>
      <c r="AY19" s="97">
        <f t="shared" si="21"/>
        <v>22</v>
      </c>
      <c r="AZ19" s="97">
        <f t="shared" si="22"/>
        <v>6</v>
      </c>
      <c r="BA19" s="83">
        <f>SUM(Summary[[#This Row],[3* (Tal)]],Summary[[#This Row],[3* (Asc)]])</f>
        <v>93</v>
      </c>
      <c r="BB19" s="1">
        <f>SUM(Summary[[#This Row],[2* (Tal)]],Summary[[#This Row],[2* (Asc)]])</f>
        <v>96</v>
      </c>
      <c r="BC19" s="69">
        <f>SUM(Summary[[#This Row],[1* (Tal)]],Summary[[#This Row],[1* (Asc)]])</f>
        <v>33</v>
      </c>
    </row>
    <row r="20" spans="1:55" x14ac:dyDescent="0.25">
      <c r="A20" s="86">
        <f>SUBTOTAL(3,$B$3:B20)</f>
        <v>18</v>
      </c>
      <c r="B20" s="88" t="s">
        <v>146</v>
      </c>
      <c r="C20" s="90" t="s">
        <v>139</v>
      </c>
      <c r="D20" s="16">
        <v>81</v>
      </c>
      <c r="E20" s="11">
        <v>1</v>
      </c>
      <c r="F20" s="2">
        <v>6</v>
      </c>
      <c r="G20" s="12">
        <v>6</v>
      </c>
      <c r="H20" s="83" t="s">
        <v>147</v>
      </c>
      <c r="I20" s="12">
        <f t="shared" si="0"/>
        <v>0</v>
      </c>
      <c r="J20" s="92">
        <f t="shared" si="1"/>
        <v>0</v>
      </c>
      <c r="K20" s="93" t="s">
        <v>148</v>
      </c>
      <c r="L20" s="94">
        <f t="shared" si="2"/>
        <v>66</v>
      </c>
      <c r="M20" s="94">
        <f t="shared" si="3"/>
        <v>21</v>
      </c>
      <c r="N20" s="95">
        <f t="shared" si="4"/>
        <v>3</v>
      </c>
      <c r="O20" s="93">
        <f t="shared" si="23"/>
        <v>22</v>
      </c>
      <c r="P20" s="94">
        <f t="shared" si="24"/>
        <v>21</v>
      </c>
      <c r="Q20" s="94">
        <f t="shared" si="25"/>
        <v>3</v>
      </c>
      <c r="R20" s="94">
        <f t="shared" si="26"/>
        <v>22</v>
      </c>
      <c r="S20" s="94">
        <f t="shared" si="27"/>
        <v>0</v>
      </c>
      <c r="T20" s="94">
        <f t="shared" si="28"/>
        <v>0</v>
      </c>
      <c r="U20" s="94">
        <f t="shared" si="29"/>
        <v>22</v>
      </c>
      <c r="V20" s="94">
        <f t="shared" si="30"/>
        <v>0</v>
      </c>
      <c r="W20" s="95">
        <f t="shared" si="31"/>
        <v>0</v>
      </c>
      <c r="X20" s="10" t="s">
        <v>129</v>
      </c>
      <c r="Y20" s="1" t="s">
        <v>149</v>
      </c>
      <c r="Z20" s="1">
        <f t="shared" si="39"/>
        <v>4</v>
      </c>
      <c r="AA20" s="1">
        <f t="shared" si="40"/>
        <v>4</v>
      </c>
      <c r="AB20" s="1">
        <f t="shared" si="41"/>
        <v>4</v>
      </c>
      <c r="AC20" s="12">
        <f t="shared" si="5"/>
        <v>12</v>
      </c>
      <c r="AD20" s="1" t="s">
        <v>150</v>
      </c>
      <c r="AE20" s="2">
        <f t="shared" si="6"/>
        <v>0</v>
      </c>
      <c r="AF20" s="83" t="s">
        <v>144</v>
      </c>
      <c r="AG20" s="1">
        <f t="shared" si="7"/>
        <v>0</v>
      </c>
      <c r="AH20" s="1">
        <f t="shared" si="8"/>
        <v>0</v>
      </c>
      <c r="AI20" s="1">
        <f t="shared" si="9"/>
        <v>0</v>
      </c>
      <c r="AJ20" s="69">
        <f t="shared" si="10"/>
        <v>0</v>
      </c>
      <c r="AK20" s="83" t="s">
        <v>100</v>
      </c>
      <c r="AL20" s="1">
        <f t="shared" si="11"/>
        <v>0</v>
      </c>
      <c r="AM20" s="1">
        <f t="shared" si="12"/>
        <v>0</v>
      </c>
      <c r="AN20" s="1">
        <f t="shared" si="13"/>
        <v>0</v>
      </c>
      <c r="AO20" s="98">
        <f>Summary[[#This Row],[3*2]]+Summary[[#This Row],[3*22]]+Summary[[#This Row],[3*23]]</f>
        <v>57</v>
      </c>
      <c r="AP20" s="97">
        <f>Summary[[#This Row],[2*2]]+Summary[[#This Row],[2*23]]+Summary[[#This Row],[2*24]]</f>
        <v>22</v>
      </c>
      <c r="AQ20" s="97">
        <f>Summary[[#This Row],[1*2]]+Summary[[#This Row],[1*24]]+Summary[[#This Row],[1*25]]</f>
        <v>6</v>
      </c>
      <c r="AR20" s="97">
        <f t="shared" si="14"/>
        <v>19</v>
      </c>
      <c r="AS20" s="97">
        <f t="shared" si="15"/>
        <v>22</v>
      </c>
      <c r="AT20" s="97">
        <f t="shared" si="16"/>
        <v>6</v>
      </c>
      <c r="AU20" s="97">
        <f t="shared" si="17"/>
        <v>19</v>
      </c>
      <c r="AV20" s="97">
        <f t="shared" si="18"/>
        <v>0</v>
      </c>
      <c r="AW20" s="97">
        <f t="shared" si="19"/>
        <v>0</v>
      </c>
      <c r="AX20" s="97">
        <f t="shared" si="20"/>
        <v>19</v>
      </c>
      <c r="AY20" s="97">
        <f t="shared" si="21"/>
        <v>0</v>
      </c>
      <c r="AZ20" s="97">
        <f t="shared" si="22"/>
        <v>0</v>
      </c>
      <c r="BA20" s="83">
        <f>SUM(Summary[[#This Row],[3* (Tal)]],Summary[[#This Row],[3* (Asc)]])</f>
        <v>57</v>
      </c>
      <c r="BB20" s="1">
        <f>SUM(Summary[[#This Row],[2* (Tal)]],Summary[[#This Row],[2* (Asc)]])</f>
        <v>22</v>
      </c>
      <c r="BC20" s="69">
        <f>SUM(Summary[[#This Row],[1* (Tal)]],Summary[[#This Row],[1* (Asc)]])</f>
        <v>6</v>
      </c>
    </row>
    <row r="21" spans="1:55" x14ac:dyDescent="0.25">
      <c r="A21" s="86">
        <f>SUBTOTAL(3,$B$3:B21)</f>
        <v>19</v>
      </c>
      <c r="B21" s="88" t="s">
        <v>282</v>
      </c>
      <c r="C21" s="90" t="s">
        <v>277</v>
      </c>
      <c r="D21" s="16" t="s">
        <v>69</v>
      </c>
      <c r="E21" s="11" t="s">
        <v>69</v>
      </c>
      <c r="F21" s="2" t="s">
        <v>69</v>
      </c>
      <c r="G21" s="12" t="s">
        <v>69</v>
      </c>
      <c r="H21" s="83" t="s">
        <v>268</v>
      </c>
      <c r="I21" s="12">
        <f t="shared" si="0"/>
        <v>0</v>
      </c>
      <c r="J21" s="92">
        <f t="shared" si="1"/>
        <v>0</v>
      </c>
      <c r="K21" s="93" t="s">
        <v>96</v>
      </c>
      <c r="L21" s="94">
        <f t="shared" si="2"/>
        <v>0</v>
      </c>
      <c r="M21" s="94">
        <f t="shared" si="3"/>
        <v>0</v>
      </c>
      <c r="N21" s="95">
        <f t="shared" si="4"/>
        <v>0</v>
      </c>
      <c r="O21" s="93">
        <f t="shared" si="23"/>
        <v>0</v>
      </c>
      <c r="P21" s="94">
        <f t="shared" si="24"/>
        <v>0</v>
      </c>
      <c r="Q21" s="94">
        <f t="shared" si="25"/>
        <v>0</v>
      </c>
      <c r="R21" s="94">
        <f t="shared" si="26"/>
        <v>0</v>
      </c>
      <c r="S21" s="94">
        <f t="shared" si="27"/>
        <v>0</v>
      </c>
      <c r="T21" s="94">
        <f t="shared" si="28"/>
        <v>0</v>
      </c>
      <c r="U21" s="94">
        <f t="shared" si="29"/>
        <v>0</v>
      </c>
      <c r="V21" s="94">
        <f t="shared" si="30"/>
        <v>0</v>
      </c>
      <c r="W21" s="95">
        <f t="shared" si="31"/>
        <v>0</v>
      </c>
      <c r="X21" s="10" t="s">
        <v>129</v>
      </c>
      <c r="Y21" s="1" t="s">
        <v>149</v>
      </c>
      <c r="Z21" s="1">
        <f t="shared" si="39"/>
        <v>0</v>
      </c>
      <c r="AA21" s="1">
        <f t="shared" si="40"/>
        <v>0</v>
      </c>
      <c r="AB21" s="1">
        <f t="shared" si="41"/>
        <v>0</v>
      </c>
      <c r="AC21" s="12">
        <f t="shared" si="5"/>
        <v>0</v>
      </c>
      <c r="AD21" s="1" t="s">
        <v>99</v>
      </c>
      <c r="AE21" s="2">
        <f t="shared" si="6"/>
        <v>0</v>
      </c>
      <c r="AF21" s="83" t="s">
        <v>280</v>
      </c>
      <c r="AG21" s="1">
        <f t="shared" si="7"/>
        <v>0</v>
      </c>
      <c r="AH21" s="1">
        <f t="shared" si="8"/>
        <v>0</v>
      </c>
      <c r="AI21" s="1">
        <f t="shared" si="9"/>
        <v>0</v>
      </c>
      <c r="AJ21" s="69">
        <f t="shared" si="10"/>
        <v>0</v>
      </c>
      <c r="AK21" s="83" t="s">
        <v>100</v>
      </c>
      <c r="AL21" s="1">
        <f t="shared" si="11"/>
        <v>0</v>
      </c>
      <c r="AM21" s="1">
        <f t="shared" si="12"/>
        <v>0</v>
      </c>
      <c r="AN21" s="1">
        <f t="shared" si="13"/>
        <v>0</v>
      </c>
      <c r="AO21" s="98">
        <f>Summary[[#This Row],[3*2]]+Summary[[#This Row],[3*22]]+Summary[[#This Row],[3*23]]</f>
        <v>0</v>
      </c>
      <c r="AP21" s="97">
        <f>Summary[[#This Row],[2*2]]+Summary[[#This Row],[2*23]]+Summary[[#This Row],[2*24]]</f>
        <v>0</v>
      </c>
      <c r="AQ21" s="97">
        <f>Summary[[#This Row],[1*2]]+Summary[[#This Row],[1*24]]+Summary[[#This Row],[1*25]]</f>
        <v>0</v>
      </c>
      <c r="AR21" s="97">
        <f t="shared" si="14"/>
        <v>0</v>
      </c>
      <c r="AS21" s="97">
        <f t="shared" si="15"/>
        <v>0</v>
      </c>
      <c r="AT21" s="97">
        <f t="shared" si="16"/>
        <v>0</v>
      </c>
      <c r="AU21" s="97">
        <f t="shared" si="17"/>
        <v>0</v>
      </c>
      <c r="AV21" s="97">
        <f t="shared" si="18"/>
        <v>0</v>
      </c>
      <c r="AW21" s="97">
        <f t="shared" si="19"/>
        <v>0</v>
      </c>
      <c r="AX21" s="97">
        <f t="shared" si="20"/>
        <v>0</v>
      </c>
      <c r="AY21" s="97">
        <f t="shared" si="21"/>
        <v>0</v>
      </c>
      <c r="AZ21" s="97">
        <f t="shared" si="22"/>
        <v>0</v>
      </c>
      <c r="BA21" s="83">
        <f>SUM(Summary[[#This Row],[3* (Tal)]],Summary[[#This Row],[3* (Asc)]])</f>
        <v>0</v>
      </c>
      <c r="BB21" s="1">
        <f>SUM(Summary[[#This Row],[2* (Tal)]],Summary[[#This Row],[2* (Asc)]])</f>
        <v>0</v>
      </c>
      <c r="BC21" s="69">
        <f>SUM(Summary[[#This Row],[1* (Tal)]],Summary[[#This Row],[1* (Asc)]])</f>
        <v>0</v>
      </c>
    </row>
    <row r="22" spans="1:55" x14ac:dyDescent="0.25">
      <c r="A22" s="86">
        <f>SUBTOTAL(3,$B$3:B22)</f>
        <v>20</v>
      </c>
      <c r="B22" s="88" t="s">
        <v>151</v>
      </c>
      <c r="C22" s="90" t="s">
        <v>139</v>
      </c>
      <c r="D22" s="16">
        <v>21</v>
      </c>
      <c r="E22" s="11">
        <v>1</v>
      </c>
      <c r="F22" s="2">
        <v>1</v>
      </c>
      <c r="G22" s="12">
        <v>1</v>
      </c>
      <c r="H22" s="83" t="s">
        <v>152</v>
      </c>
      <c r="I22" s="12">
        <f t="shared" si="0"/>
        <v>46</v>
      </c>
      <c r="J22" s="92">
        <f t="shared" si="1"/>
        <v>402</v>
      </c>
      <c r="K22" s="93" t="s">
        <v>89</v>
      </c>
      <c r="L22" s="94">
        <f t="shared" si="2"/>
        <v>66</v>
      </c>
      <c r="M22" s="94">
        <f t="shared" si="3"/>
        <v>63</v>
      </c>
      <c r="N22" s="95">
        <f t="shared" si="4"/>
        <v>9</v>
      </c>
      <c r="O22" s="93">
        <f t="shared" si="23"/>
        <v>22</v>
      </c>
      <c r="P22" s="94">
        <f t="shared" si="24"/>
        <v>21</v>
      </c>
      <c r="Q22" s="94">
        <f t="shared" si="25"/>
        <v>3</v>
      </c>
      <c r="R22" s="94">
        <f t="shared" si="26"/>
        <v>22</v>
      </c>
      <c r="S22" s="94">
        <f t="shared" si="27"/>
        <v>21</v>
      </c>
      <c r="T22" s="94">
        <f t="shared" si="28"/>
        <v>3</v>
      </c>
      <c r="U22" s="94">
        <f t="shared" si="29"/>
        <v>22</v>
      </c>
      <c r="V22" s="94">
        <f t="shared" si="30"/>
        <v>21</v>
      </c>
      <c r="W22" s="95">
        <f t="shared" si="31"/>
        <v>3</v>
      </c>
      <c r="X22" s="10" t="s">
        <v>70</v>
      </c>
      <c r="Y22" s="1" t="s">
        <v>71</v>
      </c>
      <c r="Z22" s="1">
        <f t="shared" si="39"/>
        <v>4</v>
      </c>
      <c r="AA22" s="1">
        <f t="shared" si="40"/>
        <v>4</v>
      </c>
      <c r="AB22" s="1">
        <f t="shared" si="41"/>
        <v>4</v>
      </c>
      <c r="AC22" s="12">
        <f t="shared" si="5"/>
        <v>12</v>
      </c>
      <c r="AD22" s="1" t="s">
        <v>153</v>
      </c>
      <c r="AE22" s="2">
        <f t="shared" si="6"/>
        <v>165</v>
      </c>
      <c r="AF22" s="83" t="s">
        <v>144</v>
      </c>
      <c r="AG22" s="1">
        <f t="shared" si="7"/>
        <v>6</v>
      </c>
      <c r="AH22" s="1">
        <f t="shared" si="8"/>
        <v>9</v>
      </c>
      <c r="AI22" s="1">
        <f t="shared" si="9"/>
        <v>9</v>
      </c>
      <c r="AJ22" s="69">
        <f t="shared" si="10"/>
        <v>0</v>
      </c>
      <c r="AK22" s="83" t="s">
        <v>74</v>
      </c>
      <c r="AL22" s="1">
        <f t="shared" si="11"/>
        <v>36</v>
      </c>
      <c r="AM22" s="1">
        <f t="shared" si="12"/>
        <v>30</v>
      </c>
      <c r="AN22" s="1">
        <f t="shared" si="13"/>
        <v>15</v>
      </c>
      <c r="AO22" s="98">
        <f>Summary[[#This Row],[3*2]]+Summary[[#This Row],[3*22]]+Summary[[#This Row],[3*23]]</f>
        <v>57</v>
      </c>
      <c r="AP22" s="97">
        <f>Summary[[#This Row],[2*2]]+Summary[[#This Row],[2*23]]+Summary[[#This Row],[2*24]]</f>
        <v>66</v>
      </c>
      <c r="AQ22" s="97">
        <f>Summary[[#This Row],[1*2]]+Summary[[#This Row],[1*24]]+Summary[[#This Row],[1*25]]</f>
        <v>18</v>
      </c>
      <c r="AR22" s="97">
        <f t="shared" si="14"/>
        <v>19</v>
      </c>
      <c r="AS22" s="97">
        <f t="shared" si="15"/>
        <v>22</v>
      </c>
      <c r="AT22" s="97">
        <f t="shared" si="16"/>
        <v>6</v>
      </c>
      <c r="AU22" s="97">
        <f t="shared" si="17"/>
        <v>19</v>
      </c>
      <c r="AV22" s="97">
        <f t="shared" si="18"/>
        <v>22</v>
      </c>
      <c r="AW22" s="97">
        <f t="shared" si="19"/>
        <v>6</v>
      </c>
      <c r="AX22" s="97">
        <f t="shared" si="20"/>
        <v>19</v>
      </c>
      <c r="AY22" s="97">
        <f t="shared" si="21"/>
        <v>22</v>
      </c>
      <c r="AZ22" s="97">
        <f t="shared" si="22"/>
        <v>6</v>
      </c>
      <c r="BA22" s="83">
        <f>SUM(Summary[[#This Row],[3* (Tal)]],Summary[[#This Row],[3* (Asc)]])</f>
        <v>93</v>
      </c>
      <c r="BB22" s="1">
        <f>SUM(Summary[[#This Row],[2* (Tal)]],Summary[[#This Row],[2* (Asc)]])</f>
        <v>96</v>
      </c>
      <c r="BC22" s="69">
        <f>SUM(Summary[[#This Row],[1* (Tal)]],Summary[[#This Row],[1* (Asc)]])</f>
        <v>33</v>
      </c>
    </row>
    <row r="23" spans="1:55" x14ac:dyDescent="0.25">
      <c r="A23" s="86">
        <f>SUBTOTAL(3,$B$3:B23)</f>
        <v>21</v>
      </c>
      <c r="B23" s="88" t="s">
        <v>198</v>
      </c>
      <c r="C23" s="90" t="s">
        <v>190</v>
      </c>
      <c r="D23" s="16">
        <v>22</v>
      </c>
      <c r="E23" s="11">
        <v>1</v>
      </c>
      <c r="F23" s="2">
        <v>1</v>
      </c>
      <c r="G23" s="12">
        <v>1</v>
      </c>
      <c r="H23" s="83" t="s">
        <v>199</v>
      </c>
      <c r="I23" s="12">
        <f t="shared" si="0"/>
        <v>46</v>
      </c>
      <c r="J23" s="92">
        <f t="shared" si="1"/>
        <v>402</v>
      </c>
      <c r="K23" s="93" t="s">
        <v>122</v>
      </c>
      <c r="L23" s="94">
        <f t="shared" si="2"/>
        <v>66</v>
      </c>
      <c r="M23" s="94">
        <f t="shared" si="3"/>
        <v>63</v>
      </c>
      <c r="N23" s="95">
        <f t="shared" si="4"/>
        <v>9</v>
      </c>
      <c r="O23" s="93">
        <f t="shared" si="23"/>
        <v>22</v>
      </c>
      <c r="P23" s="94">
        <f t="shared" si="24"/>
        <v>21</v>
      </c>
      <c r="Q23" s="94">
        <f t="shared" si="25"/>
        <v>3</v>
      </c>
      <c r="R23" s="94">
        <f t="shared" si="26"/>
        <v>22</v>
      </c>
      <c r="S23" s="94">
        <f t="shared" si="27"/>
        <v>21</v>
      </c>
      <c r="T23" s="94">
        <f t="shared" si="28"/>
        <v>3</v>
      </c>
      <c r="U23" s="94">
        <f t="shared" si="29"/>
        <v>22</v>
      </c>
      <c r="V23" s="94">
        <f t="shared" si="30"/>
        <v>21</v>
      </c>
      <c r="W23" s="95">
        <f t="shared" si="31"/>
        <v>3</v>
      </c>
      <c r="X23" s="10" t="s">
        <v>104</v>
      </c>
      <c r="Y23" s="1" t="s">
        <v>200</v>
      </c>
      <c r="Z23" s="1">
        <f t="shared" si="39"/>
        <v>4</v>
      </c>
      <c r="AA23" s="1">
        <f t="shared" si="40"/>
        <v>4</v>
      </c>
      <c r="AB23" s="1">
        <f t="shared" si="41"/>
        <v>4</v>
      </c>
      <c r="AC23" s="12">
        <f t="shared" si="5"/>
        <v>12</v>
      </c>
      <c r="AD23" s="1" t="s">
        <v>124</v>
      </c>
      <c r="AE23" s="2">
        <f t="shared" si="6"/>
        <v>165</v>
      </c>
      <c r="AF23" s="83" t="s">
        <v>194</v>
      </c>
      <c r="AG23" s="1">
        <f t="shared" si="7"/>
        <v>6</v>
      </c>
      <c r="AH23" s="1">
        <f t="shared" si="8"/>
        <v>9</v>
      </c>
      <c r="AI23" s="1">
        <f t="shared" si="9"/>
        <v>9</v>
      </c>
      <c r="AJ23" s="69">
        <f t="shared" si="10"/>
        <v>0</v>
      </c>
      <c r="AK23" s="83" t="s">
        <v>157</v>
      </c>
      <c r="AL23" s="1">
        <f t="shared" si="11"/>
        <v>36</v>
      </c>
      <c r="AM23" s="1">
        <f t="shared" si="12"/>
        <v>30</v>
      </c>
      <c r="AN23" s="1">
        <f t="shared" si="13"/>
        <v>15</v>
      </c>
      <c r="AO23" s="98">
        <f>Summary[[#This Row],[3*2]]+Summary[[#This Row],[3*22]]+Summary[[#This Row],[3*23]]</f>
        <v>57</v>
      </c>
      <c r="AP23" s="97">
        <f>Summary[[#This Row],[2*2]]+Summary[[#This Row],[2*23]]+Summary[[#This Row],[2*24]]</f>
        <v>66</v>
      </c>
      <c r="AQ23" s="97">
        <f>Summary[[#This Row],[1*2]]+Summary[[#This Row],[1*24]]+Summary[[#This Row],[1*25]]</f>
        <v>18</v>
      </c>
      <c r="AR23" s="97">
        <f t="shared" si="14"/>
        <v>19</v>
      </c>
      <c r="AS23" s="97">
        <f t="shared" si="15"/>
        <v>22</v>
      </c>
      <c r="AT23" s="97">
        <f t="shared" si="16"/>
        <v>6</v>
      </c>
      <c r="AU23" s="97">
        <f t="shared" si="17"/>
        <v>19</v>
      </c>
      <c r="AV23" s="97">
        <f t="shared" si="18"/>
        <v>22</v>
      </c>
      <c r="AW23" s="97">
        <f t="shared" si="19"/>
        <v>6</v>
      </c>
      <c r="AX23" s="97">
        <f t="shared" si="20"/>
        <v>19</v>
      </c>
      <c r="AY23" s="97">
        <f t="shared" si="21"/>
        <v>22</v>
      </c>
      <c r="AZ23" s="97">
        <f t="shared" si="22"/>
        <v>6</v>
      </c>
      <c r="BA23" s="83">
        <f>SUM(Summary[[#This Row],[3* (Tal)]],Summary[[#This Row],[3* (Asc)]])</f>
        <v>93</v>
      </c>
      <c r="BB23" s="1">
        <f>SUM(Summary[[#This Row],[2* (Tal)]],Summary[[#This Row],[2* (Asc)]])</f>
        <v>96</v>
      </c>
      <c r="BC23" s="69">
        <f>SUM(Summary[[#This Row],[1* (Tal)]],Summary[[#This Row],[1* (Asc)]])</f>
        <v>33</v>
      </c>
    </row>
    <row r="24" spans="1:55" x14ac:dyDescent="0.25">
      <c r="A24" s="86">
        <f>SUBTOTAL(3,$B$3:B24)</f>
        <v>22</v>
      </c>
      <c r="B24" s="88" t="s">
        <v>218</v>
      </c>
      <c r="C24" s="90" t="s">
        <v>212</v>
      </c>
      <c r="D24" s="16" t="s">
        <v>69</v>
      </c>
      <c r="E24" s="11" t="s">
        <v>69</v>
      </c>
      <c r="F24" s="2" t="s">
        <v>69</v>
      </c>
      <c r="G24" s="12" t="s">
        <v>69</v>
      </c>
      <c r="H24" s="83" t="s">
        <v>215</v>
      </c>
      <c r="I24" s="12">
        <f t="shared" si="0"/>
        <v>0</v>
      </c>
      <c r="J24" s="92">
        <f t="shared" si="1"/>
        <v>0</v>
      </c>
      <c r="K24" s="93" t="s">
        <v>77</v>
      </c>
      <c r="L24" s="94">
        <f t="shared" si="2"/>
        <v>0</v>
      </c>
      <c r="M24" s="94">
        <f t="shared" si="3"/>
        <v>0</v>
      </c>
      <c r="N24" s="95">
        <f t="shared" si="4"/>
        <v>0</v>
      </c>
      <c r="O24" s="93">
        <f t="shared" si="23"/>
        <v>0</v>
      </c>
      <c r="P24" s="94">
        <f t="shared" si="24"/>
        <v>0</v>
      </c>
      <c r="Q24" s="94">
        <f t="shared" si="25"/>
        <v>0</v>
      </c>
      <c r="R24" s="94">
        <f t="shared" si="26"/>
        <v>0</v>
      </c>
      <c r="S24" s="94">
        <f t="shared" si="27"/>
        <v>0</v>
      </c>
      <c r="T24" s="94">
        <f t="shared" si="28"/>
        <v>0</v>
      </c>
      <c r="U24" s="94">
        <f t="shared" si="29"/>
        <v>0</v>
      </c>
      <c r="V24" s="94">
        <f t="shared" si="30"/>
        <v>0</v>
      </c>
      <c r="W24" s="95">
        <f t="shared" si="31"/>
        <v>0</v>
      </c>
      <c r="X24" s="10" t="s">
        <v>104</v>
      </c>
      <c r="Y24" s="1" t="s">
        <v>191</v>
      </c>
      <c r="Z24" s="1">
        <f t="shared" si="39"/>
        <v>0</v>
      </c>
      <c r="AA24" s="1">
        <f t="shared" si="40"/>
        <v>0</v>
      </c>
      <c r="AB24" s="1">
        <f t="shared" si="41"/>
        <v>0</v>
      </c>
      <c r="AC24" s="12">
        <f t="shared" si="5"/>
        <v>0</v>
      </c>
      <c r="AD24" s="1" t="s">
        <v>219</v>
      </c>
      <c r="AE24" s="2">
        <f t="shared" si="6"/>
        <v>0</v>
      </c>
      <c r="AF24" s="83" t="s">
        <v>217</v>
      </c>
      <c r="AG24" s="1">
        <f t="shared" si="7"/>
        <v>0</v>
      </c>
      <c r="AH24" s="1">
        <f t="shared" si="8"/>
        <v>0</v>
      </c>
      <c r="AI24" s="1">
        <f t="shared" si="9"/>
        <v>0</v>
      </c>
      <c r="AJ24" s="69">
        <f t="shared" si="10"/>
        <v>0</v>
      </c>
      <c r="AK24" s="83" t="s">
        <v>132</v>
      </c>
      <c r="AL24" s="1">
        <f t="shared" si="11"/>
        <v>0</v>
      </c>
      <c r="AM24" s="1">
        <f t="shared" si="12"/>
        <v>0</v>
      </c>
      <c r="AN24" s="1">
        <f t="shared" si="13"/>
        <v>0</v>
      </c>
      <c r="AO24" s="98">
        <f>Summary[[#This Row],[3*2]]+Summary[[#This Row],[3*22]]+Summary[[#This Row],[3*23]]</f>
        <v>0</v>
      </c>
      <c r="AP24" s="97">
        <f>Summary[[#This Row],[2*2]]+Summary[[#This Row],[2*23]]+Summary[[#This Row],[2*24]]</f>
        <v>0</v>
      </c>
      <c r="AQ24" s="97">
        <f>Summary[[#This Row],[1*2]]+Summary[[#This Row],[1*24]]+Summary[[#This Row],[1*25]]</f>
        <v>0</v>
      </c>
      <c r="AR24" s="97">
        <f t="shared" si="14"/>
        <v>0</v>
      </c>
      <c r="AS24" s="97">
        <f t="shared" si="15"/>
        <v>0</v>
      </c>
      <c r="AT24" s="97">
        <f t="shared" si="16"/>
        <v>0</v>
      </c>
      <c r="AU24" s="97">
        <f t="shared" si="17"/>
        <v>0</v>
      </c>
      <c r="AV24" s="97">
        <f t="shared" si="18"/>
        <v>0</v>
      </c>
      <c r="AW24" s="97">
        <f t="shared" si="19"/>
        <v>0</v>
      </c>
      <c r="AX24" s="97">
        <f t="shared" si="20"/>
        <v>0</v>
      </c>
      <c r="AY24" s="97">
        <f t="shared" si="21"/>
        <v>0</v>
      </c>
      <c r="AZ24" s="97">
        <f t="shared" si="22"/>
        <v>0</v>
      </c>
      <c r="BA24" s="83">
        <f>SUM(Summary[[#This Row],[3* (Tal)]],Summary[[#This Row],[3* (Asc)]])</f>
        <v>0</v>
      </c>
      <c r="BB24" s="1">
        <f>SUM(Summary[[#This Row],[2* (Tal)]],Summary[[#This Row],[2* (Asc)]])</f>
        <v>0</v>
      </c>
      <c r="BC24" s="69">
        <f>SUM(Summary[[#This Row],[1* (Tal)]],Summary[[#This Row],[1* (Asc)]])</f>
        <v>0</v>
      </c>
    </row>
    <row r="25" spans="1:55" x14ac:dyDescent="0.25">
      <c r="A25" s="86">
        <f>SUBTOTAL(3,$B$3:B25)</f>
        <v>23</v>
      </c>
      <c r="B25" s="88" t="s">
        <v>283</v>
      </c>
      <c r="C25" s="90" t="s">
        <v>277</v>
      </c>
      <c r="D25" s="16" t="s">
        <v>69</v>
      </c>
      <c r="E25" s="11" t="s">
        <v>69</v>
      </c>
      <c r="F25" s="2" t="s">
        <v>69</v>
      </c>
      <c r="G25" s="12" t="s">
        <v>69</v>
      </c>
      <c r="H25" s="83" t="s">
        <v>76</v>
      </c>
      <c r="I25" s="12">
        <f t="shared" si="0"/>
        <v>0</v>
      </c>
      <c r="J25" s="92">
        <f t="shared" si="1"/>
        <v>0</v>
      </c>
      <c r="K25" s="93" t="s">
        <v>122</v>
      </c>
      <c r="L25" s="94">
        <f t="shared" si="2"/>
        <v>0</v>
      </c>
      <c r="M25" s="94">
        <f t="shared" si="3"/>
        <v>0</v>
      </c>
      <c r="N25" s="95">
        <f t="shared" si="4"/>
        <v>0</v>
      </c>
      <c r="O25" s="93">
        <f t="shared" si="23"/>
        <v>0</v>
      </c>
      <c r="P25" s="94">
        <f t="shared" si="24"/>
        <v>0</v>
      </c>
      <c r="Q25" s="94">
        <f t="shared" si="25"/>
        <v>0</v>
      </c>
      <c r="R25" s="94">
        <f t="shared" si="26"/>
        <v>0</v>
      </c>
      <c r="S25" s="94">
        <f t="shared" si="27"/>
        <v>0</v>
      </c>
      <c r="T25" s="94">
        <f t="shared" si="28"/>
        <v>0</v>
      </c>
      <c r="U25" s="94">
        <f t="shared" si="29"/>
        <v>0</v>
      </c>
      <c r="V25" s="94">
        <f t="shared" si="30"/>
        <v>0</v>
      </c>
      <c r="W25" s="95">
        <f t="shared" si="31"/>
        <v>0</v>
      </c>
      <c r="X25" s="10" t="s">
        <v>78</v>
      </c>
      <c r="Y25" s="1" t="s">
        <v>79</v>
      </c>
      <c r="Z25" s="1">
        <f t="shared" si="39"/>
        <v>0</v>
      </c>
      <c r="AA25" s="1">
        <f t="shared" si="40"/>
        <v>0</v>
      </c>
      <c r="AB25" s="1">
        <f t="shared" si="41"/>
        <v>0</v>
      </c>
      <c r="AC25" s="12">
        <f t="shared" si="5"/>
        <v>0</v>
      </c>
      <c r="AD25" s="1" t="s">
        <v>193</v>
      </c>
      <c r="AE25" s="2">
        <f t="shared" si="6"/>
        <v>0</v>
      </c>
      <c r="AF25" s="83" t="s">
        <v>280</v>
      </c>
      <c r="AG25" s="1">
        <f t="shared" si="7"/>
        <v>0</v>
      </c>
      <c r="AH25" s="1">
        <f t="shared" si="8"/>
        <v>0</v>
      </c>
      <c r="AI25" s="1">
        <f t="shared" si="9"/>
        <v>0</v>
      </c>
      <c r="AJ25" s="69">
        <f t="shared" si="10"/>
        <v>0</v>
      </c>
      <c r="AK25" s="83" t="s">
        <v>81</v>
      </c>
      <c r="AL25" s="1">
        <f t="shared" si="11"/>
        <v>0</v>
      </c>
      <c r="AM25" s="1">
        <f t="shared" si="12"/>
        <v>0</v>
      </c>
      <c r="AN25" s="1">
        <f t="shared" si="13"/>
        <v>0</v>
      </c>
      <c r="AO25" s="98">
        <f>Summary[[#This Row],[3*2]]+Summary[[#This Row],[3*22]]+Summary[[#This Row],[3*23]]</f>
        <v>0</v>
      </c>
      <c r="AP25" s="97">
        <f>Summary[[#This Row],[2*2]]+Summary[[#This Row],[2*23]]+Summary[[#This Row],[2*24]]</f>
        <v>0</v>
      </c>
      <c r="AQ25" s="97">
        <f>Summary[[#This Row],[1*2]]+Summary[[#This Row],[1*24]]+Summary[[#This Row],[1*25]]</f>
        <v>0</v>
      </c>
      <c r="AR25" s="97">
        <f t="shared" si="14"/>
        <v>0</v>
      </c>
      <c r="AS25" s="97">
        <f t="shared" si="15"/>
        <v>0</v>
      </c>
      <c r="AT25" s="97">
        <f t="shared" si="16"/>
        <v>0</v>
      </c>
      <c r="AU25" s="97">
        <f t="shared" si="17"/>
        <v>0</v>
      </c>
      <c r="AV25" s="97">
        <f t="shared" si="18"/>
        <v>0</v>
      </c>
      <c r="AW25" s="97">
        <f t="shared" si="19"/>
        <v>0</v>
      </c>
      <c r="AX25" s="97">
        <f t="shared" si="20"/>
        <v>0</v>
      </c>
      <c r="AY25" s="97">
        <f t="shared" si="21"/>
        <v>0</v>
      </c>
      <c r="AZ25" s="97">
        <f t="shared" si="22"/>
        <v>0</v>
      </c>
      <c r="BA25" s="83">
        <f>SUM(Summary[[#This Row],[3* (Tal)]],Summary[[#This Row],[3* (Asc)]])</f>
        <v>0</v>
      </c>
      <c r="BB25" s="1">
        <f>SUM(Summary[[#This Row],[2* (Tal)]],Summary[[#This Row],[2* (Asc)]])</f>
        <v>0</v>
      </c>
      <c r="BC25" s="69">
        <f>SUM(Summary[[#This Row],[1* (Tal)]],Summary[[#This Row],[1* (Asc)]])</f>
        <v>0</v>
      </c>
    </row>
    <row r="26" spans="1:55" x14ac:dyDescent="0.25">
      <c r="A26" s="86">
        <f>SUBTOTAL(3,$B$3:B26)</f>
        <v>24</v>
      </c>
      <c r="B26" s="88" t="s">
        <v>284</v>
      </c>
      <c r="C26" s="90" t="s">
        <v>277</v>
      </c>
      <c r="D26" s="16">
        <v>21</v>
      </c>
      <c r="E26" s="11">
        <v>1</v>
      </c>
      <c r="F26" s="2">
        <v>1</v>
      </c>
      <c r="G26" s="12">
        <v>1</v>
      </c>
      <c r="H26" s="83" t="s">
        <v>279</v>
      </c>
      <c r="I26" s="12">
        <f t="shared" si="0"/>
        <v>46</v>
      </c>
      <c r="J26" s="92">
        <f t="shared" si="1"/>
        <v>402</v>
      </c>
      <c r="K26" s="93" t="s">
        <v>84</v>
      </c>
      <c r="L26" s="94">
        <f t="shared" si="2"/>
        <v>66</v>
      </c>
      <c r="M26" s="94">
        <f t="shared" si="3"/>
        <v>63</v>
      </c>
      <c r="N26" s="95">
        <f t="shared" si="4"/>
        <v>9</v>
      </c>
      <c r="O26" s="93">
        <f t="shared" si="23"/>
        <v>22</v>
      </c>
      <c r="P26" s="94">
        <f t="shared" si="24"/>
        <v>21</v>
      </c>
      <c r="Q26" s="94">
        <f t="shared" si="25"/>
        <v>3</v>
      </c>
      <c r="R26" s="94">
        <f t="shared" si="26"/>
        <v>22</v>
      </c>
      <c r="S26" s="94">
        <f t="shared" si="27"/>
        <v>21</v>
      </c>
      <c r="T26" s="94">
        <f t="shared" si="28"/>
        <v>3</v>
      </c>
      <c r="U26" s="94">
        <f t="shared" si="29"/>
        <v>22</v>
      </c>
      <c r="V26" s="94">
        <f t="shared" si="30"/>
        <v>21</v>
      </c>
      <c r="W26" s="95">
        <f t="shared" si="31"/>
        <v>3</v>
      </c>
      <c r="X26" s="10" t="s">
        <v>70</v>
      </c>
      <c r="Y26" s="1" t="s">
        <v>85</v>
      </c>
      <c r="Z26" s="1">
        <f t="shared" si="39"/>
        <v>4</v>
      </c>
      <c r="AA26" s="1">
        <f t="shared" si="40"/>
        <v>4</v>
      </c>
      <c r="AB26" s="1">
        <f t="shared" si="41"/>
        <v>4</v>
      </c>
      <c r="AC26" s="12">
        <f t="shared" si="5"/>
        <v>12</v>
      </c>
      <c r="AD26" s="1" t="s">
        <v>221</v>
      </c>
      <c r="AE26" s="2">
        <f t="shared" si="6"/>
        <v>165</v>
      </c>
      <c r="AF26" s="83" t="s">
        <v>280</v>
      </c>
      <c r="AG26" s="1">
        <f t="shared" si="7"/>
        <v>6</v>
      </c>
      <c r="AH26" s="1">
        <f t="shared" si="8"/>
        <v>9</v>
      </c>
      <c r="AI26" s="1">
        <f t="shared" si="9"/>
        <v>9</v>
      </c>
      <c r="AJ26" s="69">
        <f t="shared" si="10"/>
        <v>0</v>
      </c>
      <c r="AK26" s="83" t="s">
        <v>179</v>
      </c>
      <c r="AL26" s="1">
        <f t="shared" si="11"/>
        <v>36</v>
      </c>
      <c r="AM26" s="1">
        <f t="shared" si="12"/>
        <v>30</v>
      </c>
      <c r="AN26" s="1">
        <f t="shared" si="13"/>
        <v>15</v>
      </c>
      <c r="AO26" s="98">
        <f>Summary[[#This Row],[3*2]]+Summary[[#This Row],[3*22]]+Summary[[#This Row],[3*23]]</f>
        <v>57</v>
      </c>
      <c r="AP26" s="97">
        <f>Summary[[#This Row],[2*2]]+Summary[[#This Row],[2*23]]+Summary[[#This Row],[2*24]]</f>
        <v>66</v>
      </c>
      <c r="AQ26" s="97">
        <f>Summary[[#This Row],[1*2]]+Summary[[#This Row],[1*24]]+Summary[[#This Row],[1*25]]</f>
        <v>18</v>
      </c>
      <c r="AR26" s="97">
        <f t="shared" si="14"/>
        <v>19</v>
      </c>
      <c r="AS26" s="97">
        <f t="shared" si="15"/>
        <v>22</v>
      </c>
      <c r="AT26" s="97">
        <f t="shared" si="16"/>
        <v>6</v>
      </c>
      <c r="AU26" s="97">
        <f t="shared" si="17"/>
        <v>19</v>
      </c>
      <c r="AV26" s="97">
        <f t="shared" si="18"/>
        <v>22</v>
      </c>
      <c r="AW26" s="97">
        <f t="shared" si="19"/>
        <v>6</v>
      </c>
      <c r="AX26" s="97">
        <f t="shared" si="20"/>
        <v>19</v>
      </c>
      <c r="AY26" s="97">
        <f t="shared" si="21"/>
        <v>22</v>
      </c>
      <c r="AZ26" s="97">
        <f t="shared" si="22"/>
        <v>6</v>
      </c>
      <c r="BA26" s="83">
        <f>SUM(Summary[[#This Row],[3* (Tal)]],Summary[[#This Row],[3* (Asc)]])</f>
        <v>93</v>
      </c>
      <c r="BB26" s="1">
        <f>SUM(Summary[[#This Row],[2* (Tal)]],Summary[[#This Row],[2* (Asc)]])</f>
        <v>96</v>
      </c>
      <c r="BC26" s="69">
        <f>SUM(Summary[[#This Row],[1* (Tal)]],Summary[[#This Row],[1* (Asc)]])</f>
        <v>33</v>
      </c>
    </row>
    <row r="27" spans="1:55" x14ac:dyDescent="0.25">
      <c r="A27" s="86">
        <f>SUBTOTAL(3,$B$3:B27)</f>
        <v>25</v>
      </c>
      <c r="B27" s="88" t="s">
        <v>154</v>
      </c>
      <c r="C27" s="90" t="s">
        <v>139</v>
      </c>
      <c r="D27" s="16">
        <v>50</v>
      </c>
      <c r="E27" s="11">
        <v>2</v>
      </c>
      <c r="F27" s="2">
        <v>2</v>
      </c>
      <c r="G27" s="12">
        <v>2</v>
      </c>
      <c r="H27" s="83" t="s">
        <v>152</v>
      </c>
      <c r="I27" s="12">
        <f t="shared" si="0"/>
        <v>44</v>
      </c>
      <c r="J27" s="92">
        <f t="shared" si="1"/>
        <v>355</v>
      </c>
      <c r="K27" s="93" t="s">
        <v>112</v>
      </c>
      <c r="L27" s="94">
        <f t="shared" si="2"/>
        <v>66</v>
      </c>
      <c r="M27" s="94">
        <f t="shared" si="3"/>
        <v>63</v>
      </c>
      <c r="N27" s="95">
        <f t="shared" si="4"/>
        <v>0</v>
      </c>
      <c r="O27" s="93">
        <f t="shared" si="23"/>
        <v>22</v>
      </c>
      <c r="P27" s="94">
        <f t="shared" si="24"/>
        <v>21</v>
      </c>
      <c r="Q27" s="94">
        <f t="shared" si="25"/>
        <v>0</v>
      </c>
      <c r="R27" s="94">
        <f t="shared" si="26"/>
        <v>22</v>
      </c>
      <c r="S27" s="94">
        <f t="shared" si="27"/>
        <v>21</v>
      </c>
      <c r="T27" s="94">
        <f t="shared" si="28"/>
        <v>0</v>
      </c>
      <c r="U27" s="94">
        <f t="shared" si="29"/>
        <v>22</v>
      </c>
      <c r="V27" s="94">
        <f t="shared" si="30"/>
        <v>21</v>
      </c>
      <c r="W27" s="95">
        <f t="shared" si="31"/>
        <v>0</v>
      </c>
      <c r="X27" s="10" t="s">
        <v>136</v>
      </c>
      <c r="Y27" s="1" t="s">
        <v>155</v>
      </c>
      <c r="Z27" s="1">
        <f t="shared" si="39"/>
        <v>4</v>
      </c>
      <c r="AA27" s="1">
        <f t="shared" si="40"/>
        <v>4</v>
      </c>
      <c r="AB27" s="1">
        <f t="shared" si="41"/>
        <v>4</v>
      </c>
      <c r="AC27" s="12">
        <f t="shared" si="5"/>
        <v>12</v>
      </c>
      <c r="AD27" s="1" t="s">
        <v>156</v>
      </c>
      <c r="AE27" s="2">
        <f t="shared" si="6"/>
        <v>155</v>
      </c>
      <c r="AF27" s="83" t="s">
        <v>144</v>
      </c>
      <c r="AG27" s="1">
        <f t="shared" si="7"/>
        <v>6</v>
      </c>
      <c r="AH27" s="1">
        <f t="shared" si="8"/>
        <v>9</v>
      </c>
      <c r="AI27" s="1">
        <f t="shared" si="9"/>
        <v>6</v>
      </c>
      <c r="AJ27" s="69">
        <f t="shared" si="10"/>
        <v>0</v>
      </c>
      <c r="AK27" s="83" t="s">
        <v>157</v>
      </c>
      <c r="AL27" s="1">
        <f t="shared" si="11"/>
        <v>36</v>
      </c>
      <c r="AM27" s="1">
        <f t="shared" si="12"/>
        <v>30</v>
      </c>
      <c r="AN27" s="1">
        <f t="shared" si="13"/>
        <v>0</v>
      </c>
      <c r="AO27" s="98">
        <f>Summary[[#This Row],[3*2]]+Summary[[#This Row],[3*22]]+Summary[[#This Row],[3*23]]</f>
        <v>57</v>
      </c>
      <c r="AP27" s="97">
        <f>Summary[[#This Row],[2*2]]+Summary[[#This Row],[2*23]]+Summary[[#This Row],[2*24]]</f>
        <v>66</v>
      </c>
      <c r="AQ27" s="97">
        <f>Summary[[#This Row],[1*2]]+Summary[[#This Row],[1*24]]+Summary[[#This Row],[1*25]]</f>
        <v>0</v>
      </c>
      <c r="AR27" s="97">
        <f t="shared" si="14"/>
        <v>19</v>
      </c>
      <c r="AS27" s="97">
        <f t="shared" si="15"/>
        <v>22</v>
      </c>
      <c r="AT27" s="97">
        <f t="shared" si="16"/>
        <v>0</v>
      </c>
      <c r="AU27" s="97">
        <f t="shared" si="17"/>
        <v>19</v>
      </c>
      <c r="AV27" s="97">
        <f t="shared" si="18"/>
        <v>22</v>
      </c>
      <c r="AW27" s="97">
        <f t="shared" si="19"/>
        <v>0</v>
      </c>
      <c r="AX27" s="97">
        <f t="shared" si="20"/>
        <v>19</v>
      </c>
      <c r="AY27" s="97">
        <f t="shared" si="21"/>
        <v>22</v>
      </c>
      <c r="AZ27" s="97">
        <f t="shared" si="22"/>
        <v>0</v>
      </c>
      <c r="BA27" s="83">
        <f>SUM(Summary[[#This Row],[3* (Tal)]],Summary[[#This Row],[3* (Asc)]])</f>
        <v>93</v>
      </c>
      <c r="BB27" s="1">
        <f>SUM(Summary[[#This Row],[2* (Tal)]],Summary[[#This Row],[2* (Asc)]])</f>
        <v>96</v>
      </c>
      <c r="BC27" s="69">
        <f>SUM(Summary[[#This Row],[1* (Tal)]],Summary[[#This Row],[1* (Asc)]])</f>
        <v>0</v>
      </c>
    </row>
    <row r="28" spans="1:55" x14ac:dyDescent="0.25">
      <c r="A28" s="86">
        <f>SUBTOTAL(3,$B$3:B28)</f>
        <v>26</v>
      </c>
      <c r="B28" s="88" t="s">
        <v>211</v>
      </c>
      <c r="C28" s="90" t="s">
        <v>212</v>
      </c>
      <c r="D28" s="16">
        <v>51</v>
      </c>
      <c r="E28" s="11">
        <v>1</v>
      </c>
      <c r="F28" s="2">
        <v>1</v>
      </c>
      <c r="G28" s="12">
        <v>1</v>
      </c>
      <c r="H28" s="83" t="s">
        <v>213</v>
      </c>
      <c r="I28" s="12">
        <f t="shared" si="0"/>
        <v>40</v>
      </c>
      <c r="J28" s="92">
        <f t="shared" si="1"/>
        <v>312</v>
      </c>
      <c r="K28" s="93" t="s">
        <v>173</v>
      </c>
      <c r="L28" s="94">
        <f t="shared" si="2"/>
        <v>66</v>
      </c>
      <c r="M28" s="94">
        <f t="shared" si="3"/>
        <v>63</v>
      </c>
      <c r="N28" s="95">
        <f t="shared" si="4"/>
        <v>9</v>
      </c>
      <c r="O28" s="93">
        <f t="shared" si="23"/>
        <v>22</v>
      </c>
      <c r="P28" s="94">
        <f t="shared" si="24"/>
        <v>21</v>
      </c>
      <c r="Q28" s="94">
        <f t="shared" si="25"/>
        <v>3</v>
      </c>
      <c r="R28" s="94">
        <f t="shared" si="26"/>
        <v>22</v>
      </c>
      <c r="S28" s="94">
        <f t="shared" si="27"/>
        <v>21</v>
      </c>
      <c r="T28" s="94">
        <f t="shared" si="28"/>
        <v>3</v>
      </c>
      <c r="U28" s="94">
        <f t="shared" si="29"/>
        <v>22</v>
      </c>
      <c r="V28" s="94">
        <f t="shared" si="30"/>
        <v>21</v>
      </c>
      <c r="W28" s="95">
        <f t="shared" si="31"/>
        <v>3</v>
      </c>
      <c r="X28" s="10" t="s">
        <v>90</v>
      </c>
      <c r="Y28" s="1" t="s">
        <v>170</v>
      </c>
      <c r="Z28" s="1">
        <f t="shared" si="39"/>
        <v>4</v>
      </c>
      <c r="AA28" s="1">
        <f t="shared" si="40"/>
        <v>4</v>
      </c>
      <c r="AB28" s="1">
        <f t="shared" si="41"/>
        <v>4</v>
      </c>
      <c r="AC28" s="12">
        <f t="shared" si="5"/>
        <v>12</v>
      </c>
      <c r="AD28" s="1" t="s">
        <v>207</v>
      </c>
      <c r="AE28" s="2">
        <f t="shared" si="6"/>
        <v>135</v>
      </c>
      <c r="AF28" s="83" t="s">
        <v>194</v>
      </c>
      <c r="AG28" s="1">
        <f t="shared" si="7"/>
        <v>6</v>
      </c>
      <c r="AH28" s="1">
        <f t="shared" si="8"/>
        <v>9</v>
      </c>
      <c r="AI28" s="1">
        <f t="shared" si="9"/>
        <v>0</v>
      </c>
      <c r="AJ28" s="69">
        <f t="shared" si="10"/>
        <v>0</v>
      </c>
      <c r="AK28" s="83" t="s">
        <v>81</v>
      </c>
      <c r="AL28" s="1">
        <f t="shared" si="11"/>
        <v>36</v>
      </c>
      <c r="AM28" s="1">
        <f t="shared" si="12"/>
        <v>18</v>
      </c>
      <c r="AN28" s="1">
        <f t="shared" si="13"/>
        <v>0</v>
      </c>
      <c r="AO28" s="98">
        <f>Summary[[#This Row],[3*2]]+Summary[[#This Row],[3*22]]+Summary[[#This Row],[3*23]]</f>
        <v>57</v>
      </c>
      <c r="AP28" s="97">
        <f>Summary[[#This Row],[2*2]]+Summary[[#This Row],[2*23]]+Summary[[#This Row],[2*24]]</f>
        <v>66</v>
      </c>
      <c r="AQ28" s="97">
        <f>Summary[[#This Row],[1*2]]+Summary[[#This Row],[1*24]]+Summary[[#This Row],[1*25]]</f>
        <v>18</v>
      </c>
      <c r="AR28" s="97">
        <f t="shared" si="14"/>
        <v>19</v>
      </c>
      <c r="AS28" s="97">
        <f t="shared" si="15"/>
        <v>22</v>
      </c>
      <c r="AT28" s="97">
        <f t="shared" si="16"/>
        <v>6</v>
      </c>
      <c r="AU28" s="97">
        <f t="shared" si="17"/>
        <v>19</v>
      </c>
      <c r="AV28" s="97">
        <f t="shared" si="18"/>
        <v>22</v>
      </c>
      <c r="AW28" s="97">
        <f t="shared" si="19"/>
        <v>6</v>
      </c>
      <c r="AX28" s="97">
        <f t="shared" si="20"/>
        <v>19</v>
      </c>
      <c r="AY28" s="97">
        <f t="shared" si="21"/>
        <v>22</v>
      </c>
      <c r="AZ28" s="97">
        <f t="shared" si="22"/>
        <v>6</v>
      </c>
      <c r="BA28" s="83">
        <f>SUM(Summary[[#This Row],[3* (Tal)]],Summary[[#This Row],[3* (Asc)]])</f>
        <v>93</v>
      </c>
      <c r="BB28" s="1">
        <f>SUM(Summary[[#This Row],[2* (Tal)]],Summary[[#This Row],[2* (Asc)]])</f>
        <v>84</v>
      </c>
      <c r="BC28" s="69">
        <f>SUM(Summary[[#This Row],[1* (Tal)]],Summary[[#This Row],[1* (Asc)]])</f>
        <v>18</v>
      </c>
    </row>
    <row r="29" spans="1:55" x14ac:dyDescent="0.25">
      <c r="A29" s="86">
        <f>SUBTOTAL(3,$B$3:B29)</f>
        <v>27</v>
      </c>
      <c r="B29" s="88" t="s">
        <v>158</v>
      </c>
      <c r="C29" s="90" t="s">
        <v>139</v>
      </c>
      <c r="D29" s="16">
        <v>90</v>
      </c>
      <c r="E29" s="11">
        <v>9</v>
      </c>
      <c r="F29" s="2">
        <v>8</v>
      </c>
      <c r="G29" s="12">
        <v>10</v>
      </c>
      <c r="H29" s="83" t="s">
        <v>141</v>
      </c>
      <c r="I29" s="12">
        <f t="shared" si="0"/>
        <v>0</v>
      </c>
      <c r="J29" s="92">
        <f t="shared" si="1"/>
        <v>0</v>
      </c>
      <c r="K29" s="93" t="s">
        <v>84</v>
      </c>
      <c r="L29" s="94">
        <f t="shared" si="2"/>
        <v>12</v>
      </c>
      <c r="M29" s="94">
        <f t="shared" si="3"/>
        <v>0</v>
      </c>
      <c r="N29" s="95">
        <f t="shared" si="4"/>
        <v>0</v>
      </c>
      <c r="O29" s="93">
        <f t="shared" si="23"/>
        <v>0</v>
      </c>
      <c r="P29" s="94">
        <f t="shared" si="24"/>
        <v>0</v>
      </c>
      <c r="Q29" s="94">
        <f t="shared" si="25"/>
        <v>0</v>
      </c>
      <c r="R29" s="94">
        <f t="shared" si="26"/>
        <v>12</v>
      </c>
      <c r="S29" s="94">
        <f t="shared" si="27"/>
        <v>0</v>
      </c>
      <c r="T29" s="94">
        <f t="shared" si="28"/>
        <v>0</v>
      </c>
      <c r="U29" s="94">
        <f t="shared" si="29"/>
        <v>0</v>
      </c>
      <c r="V29" s="94">
        <f t="shared" si="30"/>
        <v>0</v>
      </c>
      <c r="W29" s="95">
        <f t="shared" si="31"/>
        <v>0</v>
      </c>
      <c r="X29" s="10" t="s">
        <v>90</v>
      </c>
      <c r="Y29" s="1" t="s">
        <v>159</v>
      </c>
      <c r="Z29" s="1">
        <f t="shared" si="39"/>
        <v>0</v>
      </c>
      <c r="AA29" s="1">
        <f t="shared" si="40"/>
        <v>2</v>
      </c>
      <c r="AB29" s="1">
        <f t="shared" si="41"/>
        <v>0</v>
      </c>
      <c r="AC29" s="12">
        <f t="shared" si="5"/>
        <v>2</v>
      </c>
      <c r="AD29" s="1" t="s">
        <v>86</v>
      </c>
      <c r="AE29" s="2">
        <f t="shared" si="6"/>
        <v>0</v>
      </c>
      <c r="AF29" s="83" t="s">
        <v>144</v>
      </c>
      <c r="AG29" s="1">
        <f t="shared" si="7"/>
        <v>0</v>
      </c>
      <c r="AH29" s="1">
        <f t="shared" si="8"/>
        <v>0</v>
      </c>
      <c r="AI29" s="1">
        <f t="shared" si="9"/>
        <v>0</v>
      </c>
      <c r="AJ29" s="69">
        <f t="shared" si="10"/>
        <v>0</v>
      </c>
      <c r="AK29" s="83" t="s">
        <v>74</v>
      </c>
      <c r="AL29" s="1">
        <f t="shared" si="11"/>
        <v>0</v>
      </c>
      <c r="AM29" s="1">
        <f t="shared" si="12"/>
        <v>0</v>
      </c>
      <c r="AN29" s="1">
        <f t="shared" si="13"/>
        <v>0</v>
      </c>
      <c r="AO29" s="98">
        <f>Summary[[#This Row],[3*2]]+Summary[[#This Row],[3*22]]+Summary[[#This Row],[3*23]]</f>
        <v>9</v>
      </c>
      <c r="AP29" s="97">
        <f>Summary[[#This Row],[2*2]]+Summary[[#This Row],[2*23]]+Summary[[#This Row],[2*24]]</f>
        <v>0</v>
      </c>
      <c r="AQ29" s="97">
        <f>Summary[[#This Row],[1*2]]+Summary[[#This Row],[1*24]]+Summary[[#This Row],[1*25]]</f>
        <v>0</v>
      </c>
      <c r="AR29" s="97">
        <f t="shared" si="14"/>
        <v>0</v>
      </c>
      <c r="AS29" s="97">
        <f t="shared" si="15"/>
        <v>0</v>
      </c>
      <c r="AT29" s="97">
        <f t="shared" si="16"/>
        <v>0</v>
      </c>
      <c r="AU29" s="97">
        <f t="shared" si="17"/>
        <v>9</v>
      </c>
      <c r="AV29" s="97">
        <f t="shared" si="18"/>
        <v>0</v>
      </c>
      <c r="AW29" s="97">
        <f t="shared" si="19"/>
        <v>0</v>
      </c>
      <c r="AX29" s="97">
        <f t="shared" si="20"/>
        <v>0</v>
      </c>
      <c r="AY29" s="97">
        <f t="shared" si="21"/>
        <v>0</v>
      </c>
      <c r="AZ29" s="97">
        <f t="shared" si="22"/>
        <v>0</v>
      </c>
      <c r="BA29" s="83">
        <f>SUM(Summary[[#This Row],[3* (Tal)]],Summary[[#This Row],[3* (Asc)]])</f>
        <v>9</v>
      </c>
      <c r="BB29" s="1">
        <f>SUM(Summary[[#This Row],[2* (Tal)]],Summary[[#This Row],[2* (Asc)]])</f>
        <v>0</v>
      </c>
      <c r="BC29" s="69">
        <f>SUM(Summary[[#This Row],[1* (Tal)]],Summary[[#This Row],[1* (Asc)]])</f>
        <v>0</v>
      </c>
    </row>
    <row r="30" spans="1:55" x14ac:dyDescent="0.25">
      <c r="A30" s="86">
        <f>SUBTOTAL(3,$B$3:B30)</f>
        <v>28</v>
      </c>
      <c r="B30" s="88" t="s">
        <v>75</v>
      </c>
      <c r="C30" s="90" t="s">
        <v>67</v>
      </c>
      <c r="D30" s="16">
        <v>90</v>
      </c>
      <c r="E30" s="11">
        <v>4</v>
      </c>
      <c r="F30" s="2">
        <v>9</v>
      </c>
      <c r="G30" s="12">
        <v>10</v>
      </c>
      <c r="H30" s="83" t="s">
        <v>76</v>
      </c>
      <c r="I30" s="12">
        <f t="shared" si="0"/>
        <v>0</v>
      </c>
      <c r="J30" s="92">
        <f t="shared" si="1"/>
        <v>0</v>
      </c>
      <c r="K30" s="93" t="s">
        <v>77</v>
      </c>
      <c r="L30" s="94">
        <f t="shared" si="2"/>
        <v>22</v>
      </c>
      <c r="M30" s="94">
        <f t="shared" si="3"/>
        <v>15</v>
      </c>
      <c r="N30" s="95">
        <f t="shared" si="4"/>
        <v>0</v>
      </c>
      <c r="O30" s="93">
        <f t="shared" si="23"/>
        <v>22</v>
      </c>
      <c r="P30" s="94">
        <f t="shared" si="24"/>
        <v>15</v>
      </c>
      <c r="Q30" s="94">
        <f t="shared" si="25"/>
        <v>0</v>
      </c>
      <c r="R30" s="94">
        <f t="shared" si="26"/>
        <v>0</v>
      </c>
      <c r="S30" s="94">
        <f t="shared" si="27"/>
        <v>0</v>
      </c>
      <c r="T30" s="94">
        <f t="shared" si="28"/>
        <v>0</v>
      </c>
      <c r="U30" s="94">
        <f t="shared" si="29"/>
        <v>0</v>
      </c>
      <c r="V30" s="94">
        <f t="shared" si="30"/>
        <v>0</v>
      </c>
      <c r="W30" s="95">
        <f t="shared" si="31"/>
        <v>0</v>
      </c>
      <c r="X30" s="10" t="s">
        <v>78</v>
      </c>
      <c r="Y30" s="1" t="s">
        <v>79</v>
      </c>
      <c r="Z30" s="1">
        <f t="shared" si="39"/>
        <v>4</v>
      </c>
      <c r="AA30" s="1">
        <f t="shared" si="40"/>
        <v>0</v>
      </c>
      <c r="AB30" s="1">
        <f t="shared" si="41"/>
        <v>0</v>
      </c>
      <c r="AC30" s="12">
        <f t="shared" si="5"/>
        <v>4</v>
      </c>
      <c r="AD30" s="1" t="s">
        <v>72</v>
      </c>
      <c r="AE30" s="2">
        <f t="shared" si="6"/>
        <v>0</v>
      </c>
      <c r="AF30" s="83" t="s">
        <v>80</v>
      </c>
      <c r="AG30" s="1">
        <f t="shared" si="7"/>
        <v>0</v>
      </c>
      <c r="AH30" s="1">
        <f t="shared" si="8"/>
        <v>0</v>
      </c>
      <c r="AI30" s="1">
        <f t="shared" si="9"/>
        <v>0</v>
      </c>
      <c r="AJ30" s="69">
        <f t="shared" si="10"/>
        <v>0</v>
      </c>
      <c r="AK30" s="83" t="s">
        <v>81</v>
      </c>
      <c r="AL30" s="1">
        <f t="shared" si="11"/>
        <v>0</v>
      </c>
      <c r="AM30" s="1">
        <f t="shared" si="12"/>
        <v>0</v>
      </c>
      <c r="AN30" s="1">
        <f t="shared" si="13"/>
        <v>0</v>
      </c>
      <c r="AO30" s="98">
        <f>Summary[[#This Row],[3*2]]+Summary[[#This Row],[3*22]]+Summary[[#This Row],[3*23]]</f>
        <v>19</v>
      </c>
      <c r="AP30" s="97">
        <f>Summary[[#This Row],[2*2]]+Summary[[#This Row],[2*23]]+Summary[[#This Row],[2*24]]</f>
        <v>15</v>
      </c>
      <c r="AQ30" s="97">
        <f>Summary[[#This Row],[1*2]]+Summary[[#This Row],[1*24]]+Summary[[#This Row],[1*25]]</f>
        <v>0</v>
      </c>
      <c r="AR30" s="97">
        <f t="shared" si="14"/>
        <v>19</v>
      </c>
      <c r="AS30" s="97">
        <f t="shared" si="15"/>
        <v>15</v>
      </c>
      <c r="AT30" s="97">
        <f t="shared" si="16"/>
        <v>0</v>
      </c>
      <c r="AU30" s="97">
        <f t="shared" si="17"/>
        <v>0</v>
      </c>
      <c r="AV30" s="97">
        <f t="shared" si="18"/>
        <v>0</v>
      </c>
      <c r="AW30" s="97">
        <f t="shared" si="19"/>
        <v>0</v>
      </c>
      <c r="AX30" s="97">
        <f t="shared" si="20"/>
        <v>0</v>
      </c>
      <c r="AY30" s="97">
        <f t="shared" si="21"/>
        <v>0</v>
      </c>
      <c r="AZ30" s="97">
        <f t="shared" si="22"/>
        <v>0</v>
      </c>
      <c r="BA30" s="83">
        <f>SUM(Summary[[#This Row],[3* (Tal)]],Summary[[#This Row],[3* (Asc)]])</f>
        <v>19</v>
      </c>
      <c r="BB30" s="1">
        <f>SUM(Summary[[#This Row],[2* (Tal)]],Summary[[#This Row],[2* (Asc)]])</f>
        <v>15</v>
      </c>
      <c r="BC30" s="69">
        <f>SUM(Summary[[#This Row],[1* (Tal)]],Summary[[#This Row],[1* (Asc)]])</f>
        <v>0</v>
      </c>
    </row>
    <row r="31" spans="1:55" x14ac:dyDescent="0.25">
      <c r="A31" s="86">
        <f>SUBTOTAL(3,$B$3:B31)</f>
        <v>29</v>
      </c>
      <c r="B31" s="88" t="s">
        <v>220</v>
      </c>
      <c r="C31" s="90" t="s">
        <v>212</v>
      </c>
      <c r="D31" s="16">
        <v>90</v>
      </c>
      <c r="E31" s="11">
        <v>1</v>
      </c>
      <c r="F31" s="2">
        <v>10</v>
      </c>
      <c r="G31" s="12">
        <v>1</v>
      </c>
      <c r="H31" s="83" t="s">
        <v>215</v>
      </c>
      <c r="I31" s="12">
        <f t="shared" si="0"/>
        <v>0</v>
      </c>
      <c r="J31" s="92">
        <f t="shared" si="1"/>
        <v>0</v>
      </c>
      <c r="K31" s="93" t="s">
        <v>116</v>
      </c>
      <c r="L31" s="94">
        <f t="shared" si="2"/>
        <v>44</v>
      </c>
      <c r="M31" s="94">
        <f t="shared" si="3"/>
        <v>42</v>
      </c>
      <c r="N31" s="95">
        <f t="shared" si="4"/>
        <v>6</v>
      </c>
      <c r="O31" s="93">
        <f t="shared" si="23"/>
        <v>22</v>
      </c>
      <c r="P31" s="94">
        <f t="shared" si="24"/>
        <v>21</v>
      </c>
      <c r="Q31" s="94">
        <f t="shared" si="25"/>
        <v>3</v>
      </c>
      <c r="R31" s="94">
        <f t="shared" si="26"/>
        <v>0</v>
      </c>
      <c r="S31" s="94">
        <f t="shared" si="27"/>
        <v>0</v>
      </c>
      <c r="T31" s="94">
        <f t="shared" si="28"/>
        <v>0</v>
      </c>
      <c r="U31" s="94">
        <f t="shared" si="29"/>
        <v>22</v>
      </c>
      <c r="V31" s="94">
        <f t="shared" si="30"/>
        <v>21</v>
      </c>
      <c r="W31" s="95">
        <f t="shared" si="31"/>
        <v>3</v>
      </c>
      <c r="X31" s="10" t="s">
        <v>113</v>
      </c>
      <c r="Y31" s="1" t="s">
        <v>114</v>
      </c>
      <c r="Z31" s="1">
        <f t="shared" si="39"/>
        <v>4</v>
      </c>
      <c r="AA31" s="1">
        <f t="shared" si="40"/>
        <v>0</v>
      </c>
      <c r="AB31" s="1">
        <f t="shared" si="41"/>
        <v>4</v>
      </c>
      <c r="AC31" s="12">
        <f t="shared" si="5"/>
        <v>8</v>
      </c>
      <c r="AD31" s="1" t="s">
        <v>221</v>
      </c>
      <c r="AE31" s="2">
        <f t="shared" si="6"/>
        <v>0</v>
      </c>
      <c r="AF31" s="83" t="s">
        <v>217</v>
      </c>
      <c r="AG31" s="1">
        <f t="shared" si="7"/>
        <v>0</v>
      </c>
      <c r="AH31" s="1">
        <f t="shared" si="8"/>
        <v>0</v>
      </c>
      <c r="AI31" s="1">
        <f t="shared" si="9"/>
        <v>0</v>
      </c>
      <c r="AJ31" s="69">
        <f t="shared" si="10"/>
        <v>0</v>
      </c>
      <c r="AK31" s="83" t="s">
        <v>157</v>
      </c>
      <c r="AL31" s="1">
        <f t="shared" si="11"/>
        <v>0</v>
      </c>
      <c r="AM31" s="1">
        <f t="shared" si="12"/>
        <v>0</v>
      </c>
      <c r="AN31" s="1">
        <f t="shared" si="13"/>
        <v>0</v>
      </c>
      <c r="AO31" s="98">
        <f>Summary[[#This Row],[3*2]]+Summary[[#This Row],[3*22]]+Summary[[#This Row],[3*23]]</f>
        <v>38</v>
      </c>
      <c r="AP31" s="97">
        <f>Summary[[#This Row],[2*2]]+Summary[[#This Row],[2*23]]+Summary[[#This Row],[2*24]]</f>
        <v>44</v>
      </c>
      <c r="AQ31" s="97">
        <f>Summary[[#This Row],[1*2]]+Summary[[#This Row],[1*24]]+Summary[[#This Row],[1*25]]</f>
        <v>12</v>
      </c>
      <c r="AR31" s="97">
        <f t="shared" si="14"/>
        <v>19</v>
      </c>
      <c r="AS31" s="97">
        <f t="shared" si="15"/>
        <v>22</v>
      </c>
      <c r="AT31" s="97">
        <f t="shared" si="16"/>
        <v>6</v>
      </c>
      <c r="AU31" s="97">
        <f t="shared" si="17"/>
        <v>0</v>
      </c>
      <c r="AV31" s="97">
        <f t="shared" si="18"/>
        <v>0</v>
      </c>
      <c r="AW31" s="97">
        <f t="shared" si="19"/>
        <v>0</v>
      </c>
      <c r="AX31" s="97">
        <f t="shared" si="20"/>
        <v>19</v>
      </c>
      <c r="AY31" s="97">
        <f t="shared" si="21"/>
        <v>22</v>
      </c>
      <c r="AZ31" s="97">
        <f t="shared" si="22"/>
        <v>6</v>
      </c>
      <c r="BA31" s="83">
        <f>SUM(Summary[[#This Row],[3* (Tal)]],Summary[[#This Row],[3* (Asc)]])</f>
        <v>38</v>
      </c>
      <c r="BB31" s="1">
        <f>SUM(Summary[[#This Row],[2* (Tal)]],Summary[[#This Row],[2* (Asc)]])</f>
        <v>44</v>
      </c>
      <c r="BC31" s="69">
        <f>SUM(Summary[[#This Row],[1* (Tal)]],Summary[[#This Row],[1* (Asc)]])</f>
        <v>12</v>
      </c>
    </row>
    <row r="32" spans="1:55" x14ac:dyDescent="0.25">
      <c r="A32" s="86">
        <f>SUBTOTAL(3,$B$3:B32)</f>
        <v>30</v>
      </c>
      <c r="B32" s="88" t="s">
        <v>160</v>
      </c>
      <c r="C32" s="90" t="s">
        <v>139</v>
      </c>
      <c r="D32" s="16">
        <v>21</v>
      </c>
      <c r="E32" s="11">
        <v>1</v>
      </c>
      <c r="F32" s="2">
        <v>1</v>
      </c>
      <c r="G32" s="12">
        <v>1</v>
      </c>
      <c r="H32" s="83" t="s">
        <v>161</v>
      </c>
      <c r="I32" s="12">
        <f t="shared" si="0"/>
        <v>46</v>
      </c>
      <c r="J32" s="92">
        <f t="shared" si="1"/>
        <v>402</v>
      </c>
      <c r="K32" s="93" t="s">
        <v>148</v>
      </c>
      <c r="L32" s="94">
        <f t="shared" si="2"/>
        <v>66</v>
      </c>
      <c r="M32" s="94">
        <f t="shared" si="3"/>
        <v>63</v>
      </c>
      <c r="N32" s="95">
        <f t="shared" si="4"/>
        <v>9</v>
      </c>
      <c r="O32" s="93">
        <f t="shared" si="23"/>
        <v>22</v>
      </c>
      <c r="P32" s="94">
        <f t="shared" si="24"/>
        <v>21</v>
      </c>
      <c r="Q32" s="94">
        <f t="shared" si="25"/>
        <v>3</v>
      </c>
      <c r="R32" s="94">
        <f t="shared" si="26"/>
        <v>22</v>
      </c>
      <c r="S32" s="94">
        <f t="shared" si="27"/>
        <v>21</v>
      </c>
      <c r="T32" s="94">
        <f t="shared" si="28"/>
        <v>3</v>
      </c>
      <c r="U32" s="94">
        <f t="shared" si="29"/>
        <v>22</v>
      </c>
      <c r="V32" s="94">
        <f t="shared" si="30"/>
        <v>21</v>
      </c>
      <c r="W32" s="95">
        <f t="shared" si="31"/>
        <v>3</v>
      </c>
      <c r="X32" s="10" t="s">
        <v>97</v>
      </c>
      <c r="Y32" s="1" t="s">
        <v>162</v>
      </c>
      <c r="Z32" s="1">
        <f t="shared" si="39"/>
        <v>4</v>
      </c>
      <c r="AA32" s="1">
        <f t="shared" si="40"/>
        <v>4</v>
      </c>
      <c r="AB32" s="1">
        <f t="shared" si="41"/>
        <v>4</v>
      </c>
      <c r="AC32" s="12">
        <f t="shared" si="5"/>
        <v>12</v>
      </c>
      <c r="AD32" s="1" t="s">
        <v>163</v>
      </c>
      <c r="AE32" s="2">
        <f t="shared" si="6"/>
        <v>165</v>
      </c>
      <c r="AF32" s="83" t="s">
        <v>144</v>
      </c>
      <c r="AG32" s="1">
        <f t="shared" si="7"/>
        <v>6</v>
      </c>
      <c r="AH32" s="1">
        <f t="shared" si="8"/>
        <v>9</v>
      </c>
      <c r="AI32" s="1">
        <f t="shared" si="9"/>
        <v>9</v>
      </c>
      <c r="AJ32" s="69">
        <f t="shared" si="10"/>
        <v>0</v>
      </c>
      <c r="AK32" s="83" t="s">
        <v>164</v>
      </c>
      <c r="AL32" s="1">
        <f t="shared" si="11"/>
        <v>36</v>
      </c>
      <c r="AM32" s="1">
        <f t="shared" si="12"/>
        <v>30</v>
      </c>
      <c r="AN32" s="1">
        <f t="shared" si="13"/>
        <v>15</v>
      </c>
      <c r="AO32" s="98">
        <f>Summary[[#This Row],[3*2]]+Summary[[#This Row],[3*22]]+Summary[[#This Row],[3*23]]</f>
        <v>57</v>
      </c>
      <c r="AP32" s="97">
        <f>Summary[[#This Row],[2*2]]+Summary[[#This Row],[2*23]]+Summary[[#This Row],[2*24]]</f>
        <v>66</v>
      </c>
      <c r="AQ32" s="97">
        <f>Summary[[#This Row],[1*2]]+Summary[[#This Row],[1*24]]+Summary[[#This Row],[1*25]]</f>
        <v>18</v>
      </c>
      <c r="AR32" s="97">
        <f t="shared" si="14"/>
        <v>19</v>
      </c>
      <c r="AS32" s="97">
        <f t="shared" si="15"/>
        <v>22</v>
      </c>
      <c r="AT32" s="97">
        <f t="shared" si="16"/>
        <v>6</v>
      </c>
      <c r="AU32" s="97">
        <f t="shared" si="17"/>
        <v>19</v>
      </c>
      <c r="AV32" s="97">
        <f t="shared" si="18"/>
        <v>22</v>
      </c>
      <c r="AW32" s="97">
        <f t="shared" si="19"/>
        <v>6</v>
      </c>
      <c r="AX32" s="97">
        <f t="shared" si="20"/>
        <v>19</v>
      </c>
      <c r="AY32" s="97">
        <f t="shared" si="21"/>
        <v>22</v>
      </c>
      <c r="AZ32" s="97">
        <f t="shared" si="22"/>
        <v>6</v>
      </c>
      <c r="BA32" s="83">
        <f>SUM(Summary[[#This Row],[3* (Tal)]],Summary[[#This Row],[3* (Asc)]])</f>
        <v>93</v>
      </c>
      <c r="BB32" s="1">
        <f>SUM(Summary[[#This Row],[2* (Tal)]],Summary[[#This Row],[2* (Asc)]])</f>
        <v>96</v>
      </c>
      <c r="BC32" s="69">
        <f>SUM(Summary[[#This Row],[1* (Tal)]],Summary[[#This Row],[1* (Asc)]])</f>
        <v>33</v>
      </c>
    </row>
    <row r="33" spans="1:55" x14ac:dyDescent="0.25">
      <c r="A33" s="86">
        <f>SUBTOTAL(3,$B$3:B33)</f>
        <v>31</v>
      </c>
      <c r="B33" s="88" t="s">
        <v>259</v>
      </c>
      <c r="C33" s="90" t="s">
        <v>252</v>
      </c>
      <c r="D33" s="16">
        <v>90</v>
      </c>
      <c r="E33" s="11">
        <v>1</v>
      </c>
      <c r="F33" s="2">
        <v>10</v>
      </c>
      <c r="G33" s="12">
        <v>10</v>
      </c>
      <c r="H33" s="83" t="s">
        <v>260</v>
      </c>
      <c r="I33" s="12">
        <f t="shared" si="0"/>
        <v>0</v>
      </c>
      <c r="J33" s="92">
        <f t="shared" si="1"/>
        <v>0</v>
      </c>
      <c r="K33" s="93" t="s">
        <v>148</v>
      </c>
      <c r="L33" s="94">
        <f t="shared" si="2"/>
        <v>22</v>
      </c>
      <c r="M33" s="94">
        <f t="shared" si="3"/>
        <v>21</v>
      </c>
      <c r="N33" s="95">
        <f t="shared" si="4"/>
        <v>3</v>
      </c>
      <c r="O33" s="93">
        <f t="shared" si="23"/>
        <v>22</v>
      </c>
      <c r="P33" s="94">
        <f t="shared" si="24"/>
        <v>21</v>
      </c>
      <c r="Q33" s="94">
        <f t="shared" si="25"/>
        <v>3</v>
      </c>
      <c r="R33" s="94">
        <f t="shared" si="26"/>
        <v>0</v>
      </c>
      <c r="S33" s="94">
        <f t="shared" si="27"/>
        <v>0</v>
      </c>
      <c r="T33" s="94">
        <f t="shared" si="28"/>
        <v>0</v>
      </c>
      <c r="U33" s="94">
        <f t="shared" si="29"/>
        <v>0</v>
      </c>
      <c r="V33" s="94">
        <f t="shared" si="30"/>
        <v>0</v>
      </c>
      <c r="W33" s="95">
        <f t="shared" si="31"/>
        <v>0</v>
      </c>
      <c r="X33" s="10" t="s">
        <v>129</v>
      </c>
      <c r="Y33" s="1" t="s">
        <v>261</v>
      </c>
      <c r="Z33" s="1">
        <f t="shared" si="39"/>
        <v>4</v>
      </c>
      <c r="AA33" s="1">
        <f t="shared" si="40"/>
        <v>0</v>
      </c>
      <c r="AB33" s="1">
        <f t="shared" si="41"/>
        <v>0</v>
      </c>
      <c r="AC33" s="12">
        <f t="shared" si="5"/>
        <v>4</v>
      </c>
      <c r="AD33" s="1" t="s">
        <v>262</v>
      </c>
      <c r="AE33" s="2">
        <f t="shared" si="6"/>
        <v>0</v>
      </c>
      <c r="AF33" s="83" t="s">
        <v>256</v>
      </c>
      <c r="AG33" s="1">
        <f t="shared" si="7"/>
        <v>0</v>
      </c>
      <c r="AH33" s="1">
        <f t="shared" si="8"/>
        <v>0</v>
      </c>
      <c r="AI33" s="1">
        <f t="shared" si="9"/>
        <v>0</v>
      </c>
      <c r="AJ33" s="69">
        <f t="shared" si="10"/>
        <v>0</v>
      </c>
      <c r="AK33" s="83" t="s">
        <v>110</v>
      </c>
      <c r="AL33" s="1">
        <f t="shared" si="11"/>
        <v>0</v>
      </c>
      <c r="AM33" s="1">
        <f t="shared" si="12"/>
        <v>0</v>
      </c>
      <c r="AN33" s="1">
        <f t="shared" si="13"/>
        <v>0</v>
      </c>
      <c r="AO33" s="98">
        <f>Summary[[#This Row],[3*2]]+Summary[[#This Row],[3*22]]+Summary[[#This Row],[3*23]]</f>
        <v>19</v>
      </c>
      <c r="AP33" s="97">
        <f>Summary[[#This Row],[2*2]]+Summary[[#This Row],[2*23]]+Summary[[#This Row],[2*24]]</f>
        <v>22</v>
      </c>
      <c r="AQ33" s="97">
        <f>Summary[[#This Row],[1*2]]+Summary[[#This Row],[1*24]]+Summary[[#This Row],[1*25]]</f>
        <v>6</v>
      </c>
      <c r="AR33" s="97">
        <f t="shared" si="14"/>
        <v>19</v>
      </c>
      <c r="AS33" s="97">
        <f t="shared" si="15"/>
        <v>22</v>
      </c>
      <c r="AT33" s="97">
        <f t="shared" si="16"/>
        <v>6</v>
      </c>
      <c r="AU33" s="97">
        <f t="shared" si="17"/>
        <v>0</v>
      </c>
      <c r="AV33" s="97">
        <f t="shared" si="18"/>
        <v>0</v>
      </c>
      <c r="AW33" s="97">
        <f t="shared" si="19"/>
        <v>0</v>
      </c>
      <c r="AX33" s="97">
        <f t="shared" si="20"/>
        <v>0</v>
      </c>
      <c r="AY33" s="97">
        <f t="shared" si="21"/>
        <v>0</v>
      </c>
      <c r="AZ33" s="97">
        <f t="shared" si="22"/>
        <v>0</v>
      </c>
      <c r="BA33" s="83">
        <f>SUM(Summary[[#This Row],[3* (Tal)]],Summary[[#This Row],[3* (Asc)]])</f>
        <v>19</v>
      </c>
      <c r="BB33" s="1">
        <f>SUM(Summary[[#This Row],[2* (Tal)]],Summary[[#This Row],[2* (Asc)]])</f>
        <v>22</v>
      </c>
      <c r="BC33" s="69">
        <f>SUM(Summary[[#This Row],[1* (Tal)]],Summary[[#This Row],[1* (Asc)]])</f>
        <v>6</v>
      </c>
    </row>
    <row r="34" spans="1:55" x14ac:dyDescent="0.25">
      <c r="A34" s="16">
        <f>SUBTOTAL(3,$B$3:B34)</f>
        <v>32</v>
      </c>
      <c r="B34" s="88" t="s">
        <v>285</v>
      </c>
      <c r="C34" s="90" t="s">
        <v>277</v>
      </c>
      <c r="D34" s="16" t="s">
        <v>69</v>
      </c>
      <c r="E34" s="11" t="s">
        <v>69</v>
      </c>
      <c r="F34" s="2" t="s">
        <v>69</v>
      </c>
      <c r="G34" s="12" t="s">
        <v>69</v>
      </c>
      <c r="H34" s="83" t="s">
        <v>286</v>
      </c>
      <c r="I34" s="12">
        <f t="shared" si="0"/>
        <v>0</v>
      </c>
      <c r="J34" s="92">
        <f t="shared" si="1"/>
        <v>0</v>
      </c>
      <c r="K34" s="93" t="s">
        <v>135</v>
      </c>
      <c r="L34" s="94">
        <f t="shared" si="2"/>
        <v>0</v>
      </c>
      <c r="M34" s="94">
        <f t="shared" si="3"/>
        <v>0</v>
      </c>
      <c r="N34" s="95">
        <f t="shared" si="4"/>
        <v>0</v>
      </c>
      <c r="O34" s="93">
        <f t="shared" si="23"/>
        <v>0</v>
      </c>
      <c r="P34" s="94">
        <f t="shared" si="24"/>
        <v>0</v>
      </c>
      <c r="Q34" s="94">
        <f t="shared" si="25"/>
        <v>0</v>
      </c>
      <c r="R34" s="94">
        <f t="shared" si="26"/>
        <v>0</v>
      </c>
      <c r="S34" s="94">
        <f t="shared" si="27"/>
        <v>0</v>
      </c>
      <c r="T34" s="94">
        <f t="shared" si="28"/>
        <v>0</v>
      </c>
      <c r="U34" s="94">
        <f t="shared" si="29"/>
        <v>0</v>
      </c>
      <c r="V34" s="94">
        <f t="shared" si="30"/>
        <v>0</v>
      </c>
      <c r="W34" s="95">
        <f t="shared" si="31"/>
        <v>0</v>
      </c>
      <c r="X34" s="10" t="s">
        <v>129</v>
      </c>
      <c r="Y34" s="1" t="s">
        <v>261</v>
      </c>
      <c r="Z34" s="1">
        <f t="shared" si="39"/>
        <v>0</v>
      </c>
      <c r="AA34" s="1">
        <f t="shared" si="40"/>
        <v>0</v>
      </c>
      <c r="AB34" s="1">
        <f t="shared" si="41"/>
        <v>0</v>
      </c>
      <c r="AC34" s="12">
        <f t="shared" si="5"/>
        <v>0</v>
      </c>
      <c r="AD34" s="1" t="s">
        <v>273</v>
      </c>
      <c r="AE34" s="2">
        <f t="shared" si="6"/>
        <v>0</v>
      </c>
      <c r="AF34" s="83" t="s">
        <v>280</v>
      </c>
      <c r="AG34" s="1">
        <f t="shared" si="7"/>
        <v>0</v>
      </c>
      <c r="AH34" s="1">
        <f t="shared" si="8"/>
        <v>0</v>
      </c>
      <c r="AI34" s="1">
        <f t="shared" si="9"/>
        <v>0</v>
      </c>
      <c r="AJ34" s="69">
        <f t="shared" si="10"/>
        <v>0</v>
      </c>
      <c r="AK34" s="83" t="s">
        <v>119</v>
      </c>
      <c r="AL34" s="1">
        <f t="shared" si="11"/>
        <v>0</v>
      </c>
      <c r="AM34" s="1">
        <f t="shared" si="12"/>
        <v>0</v>
      </c>
      <c r="AN34" s="1">
        <f t="shared" si="13"/>
        <v>0</v>
      </c>
      <c r="AO34" s="98">
        <f>Summary[[#This Row],[3*2]]+Summary[[#This Row],[3*22]]+Summary[[#This Row],[3*23]]</f>
        <v>0</v>
      </c>
      <c r="AP34" s="97">
        <f>Summary[[#This Row],[2*2]]+Summary[[#This Row],[2*23]]+Summary[[#This Row],[2*24]]</f>
        <v>0</v>
      </c>
      <c r="AQ34" s="97">
        <f>Summary[[#This Row],[1*2]]+Summary[[#This Row],[1*24]]+Summary[[#This Row],[1*25]]</f>
        <v>0</v>
      </c>
      <c r="AR34" s="97">
        <f t="shared" si="14"/>
        <v>0</v>
      </c>
      <c r="AS34" s="97">
        <f t="shared" si="15"/>
        <v>0</v>
      </c>
      <c r="AT34" s="97">
        <f t="shared" si="16"/>
        <v>0</v>
      </c>
      <c r="AU34" s="97">
        <f t="shared" si="17"/>
        <v>0</v>
      </c>
      <c r="AV34" s="97">
        <f t="shared" si="18"/>
        <v>0</v>
      </c>
      <c r="AW34" s="97">
        <f t="shared" si="19"/>
        <v>0</v>
      </c>
      <c r="AX34" s="97">
        <f t="shared" si="20"/>
        <v>0</v>
      </c>
      <c r="AY34" s="97">
        <f t="shared" si="21"/>
        <v>0</v>
      </c>
      <c r="AZ34" s="97">
        <f t="shared" si="22"/>
        <v>0</v>
      </c>
      <c r="BA34" s="83">
        <f>SUM(Summary[[#This Row],[3* (Tal)]],Summary[[#This Row],[3* (Asc)]])</f>
        <v>0</v>
      </c>
      <c r="BB34" s="1">
        <f>SUM(Summary[[#This Row],[2* (Tal)]],Summary[[#This Row],[2* (Asc)]])</f>
        <v>0</v>
      </c>
      <c r="BC34" s="69">
        <f>SUM(Summary[[#This Row],[1* (Tal)]],Summary[[#This Row],[1* (Asc)]])</f>
        <v>0</v>
      </c>
    </row>
    <row r="35" spans="1:55" x14ac:dyDescent="0.25">
      <c r="A35" s="86">
        <f>SUBTOTAL(3,$B$3:B35)</f>
        <v>33</v>
      </c>
      <c r="B35" s="88" t="s">
        <v>165</v>
      </c>
      <c r="C35" s="90" t="s">
        <v>139</v>
      </c>
      <c r="D35" s="16">
        <v>90</v>
      </c>
      <c r="E35" s="11">
        <v>10</v>
      </c>
      <c r="F35" s="2">
        <v>8</v>
      </c>
      <c r="G35" s="12">
        <v>10</v>
      </c>
      <c r="H35" s="83" t="s">
        <v>152</v>
      </c>
      <c r="I35" s="12">
        <f t="shared" ref="I35:I66" si="42">(IF(D35&lt;=40,"46",IF(D35&lt;=50,"44",IF(D35&lt;=60,"40",IF(D35&lt;=70,"32",IF(D35&lt;=80,"20","0"))))))+0</f>
        <v>0</v>
      </c>
      <c r="J35" s="92">
        <f t="shared" ref="J35:J66" si="43">(IF(D35&lt;=1,"419",IF(D35&lt;=10,"417",IF(D35&lt;=20,"413",IF(D35&lt;=30,"402",IF(D35&lt;=40,"384",IF(D35&lt;=50,"355",IF(D35&lt;=60,"312",IF(D35&lt;=70,"252",IF(D35&lt;=80,"172",0))))))))))+0</f>
        <v>0</v>
      </c>
      <c r="K35" s="93" t="s">
        <v>89</v>
      </c>
      <c r="L35" s="94">
        <f t="shared" ref="L35:L66" si="44">O35+R35+U35</f>
        <v>12</v>
      </c>
      <c r="M35" s="94">
        <f t="shared" ref="M35:M66" si="45">P35+S35+V35</f>
        <v>0</v>
      </c>
      <c r="N35" s="95">
        <f t="shared" ref="N35:N66" si="46">Q35+T35+W35</f>
        <v>0</v>
      </c>
      <c r="O35" s="93">
        <f t="shared" si="23"/>
        <v>0</v>
      </c>
      <c r="P35" s="94">
        <f t="shared" si="24"/>
        <v>0</v>
      </c>
      <c r="Q35" s="94">
        <f t="shared" si="25"/>
        <v>0</v>
      </c>
      <c r="R35" s="94">
        <f t="shared" si="26"/>
        <v>12</v>
      </c>
      <c r="S35" s="94">
        <f t="shared" si="27"/>
        <v>0</v>
      </c>
      <c r="T35" s="94">
        <f t="shared" si="28"/>
        <v>0</v>
      </c>
      <c r="U35" s="94">
        <f t="shared" si="29"/>
        <v>0</v>
      </c>
      <c r="V35" s="94">
        <f t="shared" si="30"/>
        <v>0</v>
      </c>
      <c r="W35" s="95">
        <f t="shared" si="31"/>
        <v>0</v>
      </c>
      <c r="X35" s="10" t="s">
        <v>136</v>
      </c>
      <c r="Y35" s="1" t="s">
        <v>137</v>
      </c>
      <c r="Z35" s="1">
        <f t="shared" si="39"/>
        <v>0</v>
      </c>
      <c r="AA35" s="1">
        <f t="shared" si="40"/>
        <v>2</v>
      </c>
      <c r="AB35" s="1">
        <f t="shared" si="41"/>
        <v>0</v>
      </c>
      <c r="AC35" s="12">
        <f t="shared" ref="AC35:AC66" si="47">SUM(Z35:AB35)</f>
        <v>2</v>
      </c>
      <c r="AD35" s="1" t="s">
        <v>138</v>
      </c>
      <c r="AE35" s="2">
        <f t="shared" ref="AE35:AE66" si="48">IF($D35&lt;=20,"168",IF($D35&lt;=30,"165",IF($D35&lt;=50,"155",IF($D35&lt;=60,"135",IF($D35&lt;=70,"105",IF($D35&lt;=80,"60","0"))))))+0</f>
        <v>0</v>
      </c>
      <c r="AF35" s="83" t="s">
        <v>144</v>
      </c>
      <c r="AG35" s="1">
        <f t="shared" ref="AG35:AG66" si="49">IF($D35&lt;=80,"6","0")+0</f>
        <v>0</v>
      </c>
      <c r="AH35" s="1">
        <f t="shared" ref="AH35:AH66" si="50">IF($D35&lt;=60,"9",IF($D35&lt;=70,"6","0"))+0</f>
        <v>0</v>
      </c>
      <c r="AI35" s="1">
        <f t="shared" ref="AI35:AI66" si="51">IF($D35&lt;=40,"9",IF($D35&lt;=50,"6","0"))+0</f>
        <v>0</v>
      </c>
      <c r="AJ35" s="69">
        <f t="shared" ref="AJ35:AJ66" si="52">(IF($D35&lt;=20,"1","0"))+0</f>
        <v>0</v>
      </c>
      <c r="AK35" s="83" t="s">
        <v>110</v>
      </c>
      <c r="AL35" s="1">
        <f t="shared" ref="AL35:AL66" si="53">IF($D35&lt;=70,"36",IF($D35&lt;=80,"24","0"))+0</f>
        <v>0</v>
      </c>
      <c r="AM35" s="1">
        <f t="shared" ref="AM35:AM66" si="54">IF($D35&lt;=50,"30",IF($D35&lt;=60,"18","0"))+0</f>
        <v>0</v>
      </c>
      <c r="AN35" s="1">
        <f t="shared" ref="AN35:AN66" si="55">IF($D35&lt;=20,"18",IF($D35&lt;=40,"15","0"))+0</f>
        <v>0</v>
      </c>
      <c r="AO35" s="98">
        <f>Summary[[#This Row],[3*2]]+Summary[[#This Row],[3*22]]+Summary[[#This Row],[3*23]]</f>
        <v>9</v>
      </c>
      <c r="AP35" s="97">
        <f>Summary[[#This Row],[2*2]]+Summary[[#This Row],[2*23]]+Summary[[#This Row],[2*24]]</f>
        <v>0</v>
      </c>
      <c r="AQ35" s="97">
        <f>Summary[[#This Row],[1*2]]+Summary[[#This Row],[1*24]]+Summary[[#This Row],[1*25]]</f>
        <v>0</v>
      </c>
      <c r="AR35" s="97">
        <f t="shared" ref="AR35:AR66" si="56">(IF($E35&lt;=6,"19",IF($E35&lt;=7,"18",IF($E35&lt;=8,"9",0)))+0)</f>
        <v>0</v>
      </c>
      <c r="AS35" s="97">
        <f t="shared" ref="AS35:AS66" si="57">(IF($E35&lt;=2,"22",IF($E35&lt;=3,"19",IF($E35&lt;=4,"15",IF($E35&lt;=5,"9",0)))))+0</f>
        <v>0</v>
      </c>
      <c r="AT35" s="97">
        <f t="shared" ref="AT35:AT66" si="58">(IF($E35&lt;=1,"6",0))+0</f>
        <v>0</v>
      </c>
      <c r="AU35" s="97">
        <f t="shared" ref="AU35:AU66" si="59">(IF($F35&lt;=6,"19",IF($F35&lt;=7,"18",IF($F35&lt;=8,"9",0)))+0)</f>
        <v>9</v>
      </c>
      <c r="AV35" s="97">
        <f t="shared" ref="AV35:AV66" si="60">(IF($F35&lt;=2,"22",IF($F35&lt;=3,"19",IF($F35&lt;=4,"15",IF($F35&lt;=5,"9",0)))))+0</f>
        <v>0</v>
      </c>
      <c r="AW35" s="97">
        <f t="shared" ref="AW35:AW66" si="61">(IF($F35&lt;=1,"6",0))+0</f>
        <v>0</v>
      </c>
      <c r="AX35" s="97">
        <f t="shared" ref="AX35:AX66" si="62">(IF($G35&lt;=6,"19",IF($G35&lt;=7,"18",IF($G35&lt;=8,"9",0)))+0)</f>
        <v>0</v>
      </c>
      <c r="AY35" s="97">
        <f t="shared" ref="AY35:AY66" si="63">(IF($G35&lt;=2,"22",IF($G35&lt;=3,"19",IF($G35&lt;=4,"15",IF($G35&lt;=5,"9",0)))))+0</f>
        <v>0</v>
      </c>
      <c r="AZ35" s="97">
        <f t="shared" ref="AZ35:AZ66" si="64">(IF($G35&lt;=1,"6",0))+0</f>
        <v>0</v>
      </c>
      <c r="BA35" s="83">
        <f>SUM(Summary[[#This Row],[3* (Tal)]],Summary[[#This Row],[3* (Asc)]])</f>
        <v>9</v>
      </c>
      <c r="BB35" s="1">
        <f>SUM(Summary[[#This Row],[2* (Tal)]],Summary[[#This Row],[2* (Asc)]])</f>
        <v>0</v>
      </c>
      <c r="BC35" s="69">
        <f>SUM(Summary[[#This Row],[1* (Tal)]],Summary[[#This Row],[1* (Asc)]])</f>
        <v>0</v>
      </c>
    </row>
    <row r="36" spans="1:55" x14ac:dyDescent="0.25">
      <c r="A36" s="86">
        <f>SUBTOTAL(3,$B$3:B36)</f>
        <v>34</v>
      </c>
      <c r="B36" s="88" t="s">
        <v>242</v>
      </c>
      <c r="C36" s="90" t="s">
        <v>235</v>
      </c>
      <c r="D36" s="16">
        <v>20</v>
      </c>
      <c r="E36" s="11">
        <v>1</v>
      </c>
      <c r="F36" s="2">
        <v>1</v>
      </c>
      <c r="G36" s="12">
        <v>1</v>
      </c>
      <c r="H36" s="83" t="s">
        <v>168</v>
      </c>
      <c r="I36" s="12">
        <f t="shared" si="42"/>
        <v>46</v>
      </c>
      <c r="J36" s="92">
        <f t="shared" si="43"/>
        <v>413</v>
      </c>
      <c r="K36" s="93" t="s">
        <v>108</v>
      </c>
      <c r="L36" s="94">
        <f t="shared" si="44"/>
        <v>66</v>
      </c>
      <c r="M36" s="94">
        <f t="shared" si="45"/>
        <v>63</v>
      </c>
      <c r="N36" s="95">
        <f t="shared" si="46"/>
        <v>9</v>
      </c>
      <c r="O36" s="93">
        <f t="shared" si="23"/>
        <v>22</v>
      </c>
      <c r="P36" s="94">
        <f t="shared" si="24"/>
        <v>21</v>
      </c>
      <c r="Q36" s="94">
        <f t="shared" si="25"/>
        <v>3</v>
      </c>
      <c r="R36" s="94">
        <f t="shared" si="26"/>
        <v>22</v>
      </c>
      <c r="S36" s="94">
        <f t="shared" si="27"/>
        <v>21</v>
      </c>
      <c r="T36" s="94">
        <f t="shared" si="28"/>
        <v>3</v>
      </c>
      <c r="U36" s="94">
        <f t="shared" si="29"/>
        <v>22</v>
      </c>
      <c r="V36" s="94">
        <f t="shared" si="30"/>
        <v>21</v>
      </c>
      <c r="W36" s="95">
        <f t="shared" si="31"/>
        <v>3</v>
      </c>
      <c r="X36" s="10" t="s">
        <v>142</v>
      </c>
      <c r="Y36" s="1" t="s">
        <v>143</v>
      </c>
      <c r="Z36" s="1">
        <f t="shared" si="39"/>
        <v>4</v>
      </c>
      <c r="AA36" s="1">
        <f t="shared" si="40"/>
        <v>4</v>
      </c>
      <c r="AB36" s="1">
        <f t="shared" si="41"/>
        <v>4</v>
      </c>
      <c r="AC36" s="12">
        <f t="shared" si="47"/>
        <v>12</v>
      </c>
      <c r="AD36" s="1" t="s">
        <v>243</v>
      </c>
      <c r="AE36" s="2">
        <f t="shared" si="48"/>
        <v>168</v>
      </c>
      <c r="AF36" s="83" t="s">
        <v>239</v>
      </c>
      <c r="AG36" s="1">
        <f t="shared" si="49"/>
        <v>6</v>
      </c>
      <c r="AH36" s="1">
        <f t="shared" si="50"/>
        <v>9</v>
      </c>
      <c r="AI36" s="1">
        <f t="shared" si="51"/>
        <v>9</v>
      </c>
      <c r="AJ36" s="69">
        <f t="shared" si="52"/>
        <v>1</v>
      </c>
      <c r="AK36" s="83" t="s">
        <v>145</v>
      </c>
      <c r="AL36" s="1">
        <f t="shared" si="53"/>
        <v>36</v>
      </c>
      <c r="AM36" s="1">
        <f t="shared" si="54"/>
        <v>30</v>
      </c>
      <c r="AN36" s="1">
        <f t="shared" si="55"/>
        <v>18</v>
      </c>
      <c r="AO36" s="98">
        <f>Summary[[#This Row],[3*2]]+Summary[[#This Row],[3*22]]+Summary[[#This Row],[3*23]]</f>
        <v>57</v>
      </c>
      <c r="AP36" s="97">
        <f>Summary[[#This Row],[2*2]]+Summary[[#This Row],[2*23]]+Summary[[#This Row],[2*24]]</f>
        <v>66</v>
      </c>
      <c r="AQ36" s="97">
        <f>Summary[[#This Row],[1*2]]+Summary[[#This Row],[1*24]]+Summary[[#This Row],[1*25]]</f>
        <v>18</v>
      </c>
      <c r="AR36" s="97">
        <f t="shared" si="56"/>
        <v>19</v>
      </c>
      <c r="AS36" s="97">
        <f t="shared" si="57"/>
        <v>22</v>
      </c>
      <c r="AT36" s="97">
        <f t="shared" si="58"/>
        <v>6</v>
      </c>
      <c r="AU36" s="97">
        <f t="shared" si="59"/>
        <v>19</v>
      </c>
      <c r="AV36" s="97">
        <f t="shared" si="60"/>
        <v>22</v>
      </c>
      <c r="AW36" s="97">
        <f t="shared" si="61"/>
        <v>6</v>
      </c>
      <c r="AX36" s="97">
        <f t="shared" si="62"/>
        <v>19</v>
      </c>
      <c r="AY36" s="97">
        <f t="shared" si="63"/>
        <v>22</v>
      </c>
      <c r="AZ36" s="97">
        <f t="shared" si="64"/>
        <v>6</v>
      </c>
      <c r="BA36" s="83">
        <f>SUM(Summary[[#This Row],[3* (Tal)]],Summary[[#This Row],[3* (Asc)]])</f>
        <v>93</v>
      </c>
      <c r="BB36" s="1">
        <f>SUM(Summary[[#This Row],[2* (Tal)]],Summary[[#This Row],[2* (Asc)]])</f>
        <v>96</v>
      </c>
      <c r="BC36" s="69">
        <f>SUM(Summary[[#This Row],[1* (Tal)]],Summary[[#This Row],[1* (Asc)]])</f>
        <v>36</v>
      </c>
    </row>
    <row r="37" spans="1:55" x14ac:dyDescent="0.25">
      <c r="A37" s="86">
        <f>SUBTOTAL(3,$B$3:B37)</f>
        <v>35</v>
      </c>
      <c r="B37" s="88" t="s">
        <v>101</v>
      </c>
      <c r="C37" s="90" t="s">
        <v>67</v>
      </c>
      <c r="D37" s="16">
        <v>60</v>
      </c>
      <c r="E37" s="11">
        <v>1</v>
      </c>
      <c r="F37" s="2">
        <v>1</v>
      </c>
      <c r="G37" s="12">
        <v>1</v>
      </c>
      <c r="H37" s="83" t="s">
        <v>102</v>
      </c>
      <c r="I37" s="12">
        <f t="shared" si="42"/>
        <v>40</v>
      </c>
      <c r="J37" s="92">
        <f t="shared" si="43"/>
        <v>312</v>
      </c>
      <c r="K37" s="93" t="s">
        <v>103</v>
      </c>
      <c r="L37" s="94">
        <f t="shared" si="44"/>
        <v>66</v>
      </c>
      <c r="M37" s="94">
        <f t="shared" si="45"/>
        <v>63</v>
      </c>
      <c r="N37" s="95">
        <f t="shared" si="46"/>
        <v>9</v>
      </c>
      <c r="O37" s="93">
        <f t="shared" ref="O37:O68" si="65">(IF(E37&lt;=6,"22",IF(E37&lt;=7,"18",IF(E37&lt;=8,"12",0))))+0</f>
        <v>22</v>
      </c>
      <c r="P37" s="94">
        <f t="shared" ref="P37:P68" si="66">(IF(E37&lt;=2,"21",IF(E37&lt;=3,"19",IF(E37&lt;=4,"15",IF(E37&lt;=5,"9",0)))))+0</f>
        <v>21</v>
      </c>
      <c r="Q37" s="94">
        <f t="shared" ref="Q37:Q68" si="67">(IF(E37&lt;=1,"3",0))+0</f>
        <v>3</v>
      </c>
      <c r="R37" s="94">
        <f t="shared" ref="R37:R68" si="68">(IF(F37&lt;=6,"22",IF(F37&lt;=7,"18",IF(F37&lt;=8,"12",0))))+0</f>
        <v>22</v>
      </c>
      <c r="S37" s="94">
        <f t="shared" ref="S37:S68" si="69">(IF(F37&lt;=2,"21",IF(F37&lt;=3,"19",IF(F37&lt;=4,"15",IF(F37&lt;=5,"9",0)))))+0</f>
        <v>21</v>
      </c>
      <c r="T37" s="94">
        <f t="shared" ref="T37:T68" si="70">(IF(F37&lt;=1,"3",0))+0</f>
        <v>3</v>
      </c>
      <c r="U37" s="94">
        <f t="shared" ref="U37:U68" si="71">(IF(G37&lt;=6,"22",IF(G37&lt;=7,"18",IF(G37&lt;=8,"12",0))))+0</f>
        <v>22</v>
      </c>
      <c r="V37" s="94">
        <f t="shared" ref="V37:V68" si="72">(IF(G37&lt;=2,"21",IF(G37&lt;=3,"19",IF(G37&lt;=4,"15",IF(G37&lt;=5,"9",0)))))+0</f>
        <v>21</v>
      </c>
      <c r="W37" s="95">
        <f t="shared" ref="W37:W68" si="73">(IF(G37&lt;=1,"3",0))+0</f>
        <v>3</v>
      </c>
      <c r="X37" s="10" t="s">
        <v>104</v>
      </c>
      <c r="Y37" s="1" t="s">
        <v>105</v>
      </c>
      <c r="Z37" s="1">
        <f t="shared" si="39"/>
        <v>4</v>
      </c>
      <c r="AA37" s="1">
        <f t="shared" si="40"/>
        <v>4</v>
      </c>
      <c r="AB37" s="1">
        <f t="shared" si="41"/>
        <v>4</v>
      </c>
      <c r="AC37" s="12">
        <f t="shared" si="47"/>
        <v>12</v>
      </c>
      <c r="AD37" s="1" t="s">
        <v>106</v>
      </c>
      <c r="AE37" s="2">
        <f t="shared" si="48"/>
        <v>135</v>
      </c>
      <c r="AF37" s="83" t="s">
        <v>80</v>
      </c>
      <c r="AG37" s="1">
        <f t="shared" si="49"/>
        <v>6</v>
      </c>
      <c r="AH37" s="1">
        <f t="shared" si="50"/>
        <v>9</v>
      </c>
      <c r="AI37" s="1">
        <f t="shared" si="51"/>
        <v>0</v>
      </c>
      <c r="AJ37" s="69">
        <f t="shared" si="52"/>
        <v>0</v>
      </c>
      <c r="AK37" s="83" t="s">
        <v>93</v>
      </c>
      <c r="AL37" s="1">
        <f t="shared" si="53"/>
        <v>36</v>
      </c>
      <c r="AM37" s="1">
        <f t="shared" si="54"/>
        <v>18</v>
      </c>
      <c r="AN37" s="1">
        <f t="shared" si="55"/>
        <v>0</v>
      </c>
      <c r="AO37" s="98">
        <f>Summary[[#This Row],[3*2]]+Summary[[#This Row],[3*22]]+Summary[[#This Row],[3*23]]</f>
        <v>57</v>
      </c>
      <c r="AP37" s="97">
        <f>Summary[[#This Row],[2*2]]+Summary[[#This Row],[2*23]]+Summary[[#This Row],[2*24]]</f>
        <v>66</v>
      </c>
      <c r="AQ37" s="97">
        <f>Summary[[#This Row],[1*2]]+Summary[[#This Row],[1*24]]+Summary[[#This Row],[1*25]]</f>
        <v>18</v>
      </c>
      <c r="AR37" s="97">
        <f t="shared" si="56"/>
        <v>19</v>
      </c>
      <c r="AS37" s="97">
        <f t="shared" si="57"/>
        <v>22</v>
      </c>
      <c r="AT37" s="97">
        <f t="shared" si="58"/>
        <v>6</v>
      </c>
      <c r="AU37" s="97">
        <f t="shared" si="59"/>
        <v>19</v>
      </c>
      <c r="AV37" s="97">
        <f t="shared" si="60"/>
        <v>22</v>
      </c>
      <c r="AW37" s="97">
        <f t="shared" si="61"/>
        <v>6</v>
      </c>
      <c r="AX37" s="97">
        <f t="shared" si="62"/>
        <v>19</v>
      </c>
      <c r="AY37" s="97">
        <f t="shared" si="63"/>
        <v>22</v>
      </c>
      <c r="AZ37" s="97">
        <f t="shared" si="64"/>
        <v>6</v>
      </c>
      <c r="BA37" s="83">
        <f>SUM(Summary[[#This Row],[3* (Tal)]],Summary[[#This Row],[3* (Asc)]])</f>
        <v>93</v>
      </c>
      <c r="BB37" s="1">
        <f>SUM(Summary[[#This Row],[2* (Tal)]],Summary[[#This Row],[2* (Asc)]])</f>
        <v>84</v>
      </c>
      <c r="BC37" s="69">
        <f>SUM(Summary[[#This Row],[1* (Tal)]],Summary[[#This Row],[1* (Asc)]])</f>
        <v>18</v>
      </c>
    </row>
    <row r="38" spans="1:55" x14ac:dyDescent="0.25">
      <c r="A38" s="86">
        <f>SUBTOTAL(3,$B$3:B38)</f>
        <v>36</v>
      </c>
      <c r="B38" s="88" t="s">
        <v>287</v>
      </c>
      <c r="C38" s="90" t="s">
        <v>277</v>
      </c>
      <c r="D38" s="16">
        <v>90</v>
      </c>
      <c r="E38" s="11">
        <v>10</v>
      </c>
      <c r="F38" s="2">
        <v>10</v>
      </c>
      <c r="G38" s="12">
        <v>10</v>
      </c>
      <c r="H38" s="83" t="s">
        <v>134</v>
      </c>
      <c r="I38" s="12">
        <f t="shared" si="42"/>
        <v>0</v>
      </c>
      <c r="J38" s="92">
        <f t="shared" si="43"/>
        <v>0</v>
      </c>
      <c r="K38" s="93" t="s">
        <v>89</v>
      </c>
      <c r="L38" s="94">
        <f t="shared" si="44"/>
        <v>0</v>
      </c>
      <c r="M38" s="94">
        <f t="shared" si="45"/>
        <v>0</v>
      </c>
      <c r="N38" s="95">
        <f t="shared" si="46"/>
        <v>0</v>
      </c>
      <c r="O38" s="93">
        <f t="shared" si="65"/>
        <v>0</v>
      </c>
      <c r="P38" s="94">
        <f t="shared" si="66"/>
        <v>0</v>
      </c>
      <c r="Q38" s="94">
        <f t="shared" si="67"/>
        <v>0</v>
      </c>
      <c r="R38" s="94">
        <f t="shared" si="68"/>
        <v>0</v>
      </c>
      <c r="S38" s="94">
        <f t="shared" si="69"/>
        <v>0</v>
      </c>
      <c r="T38" s="94">
        <f t="shared" si="70"/>
        <v>0</v>
      </c>
      <c r="U38" s="94">
        <f t="shared" si="71"/>
        <v>0</v>
      </c>
      <c r="V38" s="94">
        <f t="shared" si="72"/>
        <v>0</v>
      </c>
      <c r="W38" s="95">
        <f t="shared" si="73"/>
        <v>0</v>
      </c>
      <c r="X38" s="10" t="s">
        <v>136</v>
      </c>
      <c r="Y38" s="1" t="s">
        <v>155</v>
      </c>
      <c r="Z38" s="1">
        <f t="shared" si="39"/>
        <v>0</v>
      </c>
      <c r="AA38" s="1">
        <f t="shared" si="40"/>
        <v>0</v>
      </c>
      <c r="AB38" s="1">
        <f t="shared" si="41"/>
        <v>0</v>
      </c>
      <c r="AC38" s="12">
        <f t="shared" si="47"/>
        <v>0</v>
      </c>
      <c r="AD38" s="1" t="s">
        <v>275</v>
      </c>
      <c r="AE38" s="2">
        <f t="shared" si="48"/>
        <v>0</v>
      </c>
      <c r="AF38" s="83" t="s">
        <v>280</v>
      </c>
      <c r="AG38" s="1">
        <f t="shared" si="49"/>
        <v>0</v>
      </c>
      <c r="AH38" s="1">
        <f t="shared" si="50"/>
        <v>0</v>
      </c>
      <c r="AI38" s="1">
        <f t="shared" si="51"/>
        <v>0</v>
      </c>
      <c r="AJ38" s="69">
        <f t="shared" si="52"/>
        <v>0</v>
      </c>
      <c r="AK38" s="83" t="s">
        <v>110</v>
      </c>
      <c r="AL38" s="1">
        <f t="shared" si="53"/>
        <v>0</v>
      </c>
      <c r="AM38" s="1">
        <f t="shared" si="54"/>
        <v>0</v>
      </c>
      <c r="AN38" s="1">
        <f t="shared" si="55"/>
        <v>0</v>
      </c>
      <c r="AO38" s="98">
        <f>Summary[[#This Row],[3*2]]+Summary[[#This Row],[3*22]]+Summary[[#This Row],[3*23]]</f>
        <v>0</v>
      </c>
      <c r="AP38" s="97">
        <f>Summary[[#This Row],[2*2]]+Summary[[#This Row],[2*23]]+Summary[[#This Row],[2*24]]</f>
        <v>0</v>
      </c>
      <c r="AQ38" s="97">
        <f>Summary[[#This Row],[1*2]]+Summary[[#This Row],[1*24]]+Summary[[#This Row],[1*25]]</f>
        <v>0</v>
      </c>
      <c r="AR38" s="97">
        <f t="shared" si="56"/>
        <v>0</v>
      </c>
      <c r="AS38" s="97">
        <f t="shared" si="57"/>
        <v>0</v>
      </c>
      <c r="AT38" s="97">
        <f t="shared" si="58"/>
        <v>0</v>
      </c>
      <c r="AU38" s="97">
        <f t="shared" si="59"/>
        <v>0</v>
      </c>
      <c r="AV38" s="97">
        <f t="shared" si="60"/>
        <v>0</v>
      </c>
      <c r="AW38" s="97">
        <f t="shared" si="61"/>
        <v>0</v>
      </c>
      <c r="AX38" s="97">
        <f t="shared" si="62"/>
        <v>0</v>
      </c>
      <c r="AY38" s="97">
        <f t="shared" si="63"/>
        <v>0</v>
      </c>
      <c r="AZ38" s="97">
        <f t="shared" si="64"/>
        <v>0</v>
      </c>
      <c r="BA38" s="83">
        <f>SUM(Summary[[#This Row],[3* (Tal)]],Summary[[#This Row],[3* (Asc)]])</f>
        <v>0</v>
      </c>
      <c r="BB38" s="1">
        <f>SUM(Summary[[#This Row],[2* (Tal)]],Summary[[#This Row],[2* (Asc)]])</f>
        <v>0</v>
      </c>
      <c r="BC38" s="69">
        <f>SUM(Summary[[#This Row],[1* (Tal)]],Summary[[#This Row],[1* (Asc)]])</f>
        <v>0</v>
      </c>
    </row>
    <row r="39" spans="1:55" x14ac:dyDescent="0.25">
      <c r="A39" s="86">
        <f>SUBTOTAL(3,$B$3:B39)</f>
        <v>37</v>
      </c>
      <c r="B39" s="88" t="s">
        <v>82</v>
      </c>
      <c r="C39" s="90" t="s">
        <v>67</v>
      </c>
      <c r="D39" s="16">
        <v>40</v>
      </c>
      <c r="E39" s="11">
        <v>1</v>
      </c>
      <c r="F39" s="2">
        <v>1</v>
      </c>
      <c r="G39" s="12">
        <v>1</v>
      </c>
      <c r="H39" s="83" t="s">
        <v>83</v>
      </c>
      <c r="I39" s="12">
        <f t="shared" si="42"/>
        <v>46</v>
      </c>
      <c r="J39" s="92">
        <f t="shared" si="43"/>
        <v>384</v>
      </c>
      <c r="K39" s="93" t="s">
        <v>84</v>
      </c>
      <c r="L39" s="94">
        <f t="shared" si="44"/>
        <v>66</v>
      </c>
      <c r="M39" s="94">
        <f t="shared" si="45"/>
        <v>63</v>
      </c>
      <c r="N39" s="95">
        <f t="shared" si="46"/>
        <v>9</v>
      </c>
      <c r="O39" s="93">
        <f t="shared" si="65"/>
        <v>22</v>
      </c>
      <c r="P39" s="94">
        <f t="shared" si="66"/>
        <v>21</v>
      </c>
      <c r="Q39" s="94">
        <f t="shared" si="67"/>
        <v>3</v>
      </c>
      <c r="R39" s="94">
        <f t="shared" si="68"/>
        <v>22</v>
      </c>
      <c r="S39" s="94">
        <f t="shared" si="69"/>
        <v>21</v>
      </c>
      <c r="T39" s="94">
        <f t="shared" si="70"/>
        <v>3</v>
      </c>
      <c r="U39" s="94">
        <f t="shared" si="71"/>
        <v>22</v>
      </c>
      <c r="V39" s="94">
        <f t="shared" si="72"/>
        <v>21</v>
      </c>
      <c r="W39" s="95">
        <f t="shared" si="73"/>
        <v>3</v>
      </c>
      <c r="X39" s="10" t="s">
        <v>70</v>
      </c>
      <c r="Y39" s="1" t="s">
        <v>85</v>
      </c>
      <c r="Z39" s="1">
        <f t="shared" si="39"/>
        <v>4</v>
      </c>
      <c r="AA39" s="1">
        <f t="shared" si="40"/>
        <v>4</v>
      </c>
      <c r="AB39" s="1">
        <f t="shared" si="41"/>
        <v>4</v>
      </c>
      <c r="AC39" s="12">
        <f t="shared" si="47"/>
        <v>12</v>
      </c>
      <c r="AD39" s="1" t="s">
        <v>86</v>
      </c>
      <c r="AE39" s="2">
        <f t="shared" si="48"/>
        <v>155</v>
      </c>
      <c r="AF39" s="83" t="s">
        <v>80</v>
      </c>
      <c r="AG39" s="1">
        <f t="shared" si="49"/>
        <v>6</v>
      </c>
      <c r="AH39" s="1">
        <f t="shared" si="50"/>
        <v>9</v>
      </c>
      <c r="AI39" s="1">
        <f t="shared" si="51"/>
        <v>9</v>
      </c>
      <c r="AJ39" s="69">
        <f t="shared" si="52"/>
        <v>0</v>
      </c>
      <c r="AK39" s="83" t="s">
        <v>74</v>
      </c>
      <c r="AL39" s="1">
        <f t="shared" si="53"/>
        <v>36</v>
      </c>
      <c r="AM39" s="1">
        <f t="shared" si="54"/>
        <v>30</v>
      </c>
      <c r="AN39" s="1">
        <f t="shared" si="55"/>
        <v>15</v>
      </c>
      <c r="AO39" s="98">
        <f>Summary[[#This Row],[3*2]]+Summary[[#This Row],[3*22]]+Summary[[#This Row],[3*23]]</f>
        <v>57</v>
      </c>
      <c r="AP39" s="97">
        <f>Summary[[#This Row],[2*2]]+Summary[[#This Row],[2*23]]+Summary[[#This Row],[2*24]]</f>
        <v>66</v>
      </c>
      <c r="AQ39" s="97">
        <f>Summary[[#This Row],[1*2]]+Summary[[#This Row],[1*24]]+Summary[[#This Row],[1*25]]</f>
        <v>18</v>
      </c>
      <c r="AR39" s="97">
        <f t="shared" si="56"/>
        <v>19</v>
      </c>
      <c r="AS39" s="97">
        <f t="shared" si="57"/>
        <v>22</v>
      </c>
      <c r="AT39" s="97">
        <f t="shared" si="58"/>
        <v>6</v>
      </c>
      <c r="AU39" s="97">
        <f t="shared" si="59"/>
        <v>19</v>
      </c>
      <c r="AV39" s="97">
        <f t="shared" si="60"/>
        <v>22</v>
      </c>
      <c r="AW39" s="97">
        <f t="shared" si="61"/>
        <v>6</v>
      </c>
      <c r="AX39" s="97">
        <f t="shared" si="62"/>
        <v>19</v>
      </c>
      <c r="AY39" s="97">
        <f t="shared" si="63"/>
        <v>22</v>
      </c>
      <c r="AZ39" s="97">
        <f t="shared" si="64"/>
        <v>6</v>
      </c>
      <c r="BA39" s="83">
        <f>SUM(Summary[[#This Row],[3* (Tal)]],Summary[[#This Row],[3* (Asc)]])</f>
        <v>93</v>
      </c>
      <c r="BB39" s="1">
        <f>SUM(Summary[[#This Row],[2* (Tal)]],Summary[[#This Row],[2* (Asc)]])</f>
        <v>96</v>
      </c>
      <c r="BC39" s="69">
        <f>SUM(Summary[[#This Row],[1* (Tal)]],Summary[[#This Row],[1* (Asc)]])</f>
        <v>33</v>
      </c>
    </row>
    <row r="40" spans="1:55" x14ac:dyDescent="0.25">
      <c r="A40" s="86">
        <f>SUBTOTAL(3,$B$3:B40)</f>
        <v>38</v>
      </c>
      <c r="B40" s="88" t="s">
        <v>166</v>
      </c>
      <c r="C40" s="90" t="s">
        <v>139</v>
      </c>
      <c r="D40" s="16">
        <v>40</v>
      </c>
      <c r="E40" s="11">
        <v>1</v>
      </c>
      <c r="F40" s="2">
        <v>1</v>
      </c>
      <c r="G40" s="12">
        <v>1</v>
      </c>
      <c r="H40" s="83" t="s">
        <v>152</v>
      </c>
      <c r="I40" s="12">
        <f t="shared" si="42"/>
        <v>46</v>
      </c>
      <c r="J40" s="92">
        <f t="shared" si="43"/>
        <v>384</v>
      </c>
      <c r="K40" s="93" t="s">
        <v>116</v>
      </c>
      <c r="L40" s="94">
        <f t="shared" si="44"/>
        <v>66</v>
      </c>
      <c r="M40" s="94">
        <f t="shared" si="45"/>
        <v>63</v>
      </c>
      <c r="N40" s="95">
        <f t="shared" si="46"/>
        <v>9</v>
      </c>
      <c r="O40" s="93">
        <f t="shared" si="65"/>
        <v>22</v>
      </c>
      <c r="P40" s="94">
        <f t="shared" si="66"/>
        <v>21</v>
      </c>
      <c r="Q40" s="94">
        <f t="shared" si="67"/>
        <v>3</v>
      </c>
      <c r="R40" s="94">
        <f t="shared" si="68"/>
        <v>22</v>
      </c>
      <c r="S40" s="94">
        <f t="shared" si="69"/>
        <v>21</v>
      </c>
      <c r="T40" s="94">
        <f t="shared" si="70"/>
        <v>3</v>
      </c>
      <c r="U40" s="94">
        <f t="shared" si="71"/>
        <v>22</v>
      </c>
      <c r="V40" s="94">
        <f t="shared" si="72"/>
        <v>21</v>
      </c>
      <c r="W40" s="95">
        <f t="shared" si="73"/>
        <v>3</v>
      </c>
      <c r="X40" s="10" t="s">
        <v>113</v>
      </c>
      <c r="Y40" s="1" t="s">
        <v>114</v>
      </c>
      <c r="Z40" s="1">
        <f t="shared" si="39"/>
        <v>4</v>
      </c>
      <c r="AA40" s="1">
        <f t="shared" si="40"/>
        <v>4</v>
      </c>
      <c r="AB40" s="1">
        <f t="shared" si="41"/>
        <v>4</v>
      </c>
      <c r="AC40" s="12">
        <f t="shared" si="47"/>
        <v>12</v>
      </c>
      <c r="AD40" s="1" t="s">
        <v>156</v>
      </c>
      <c r="AE40" s="2">
        <f t="shared" si="48"/>
        <v>155</v>
      </c>
      <c r="AF40" s="83" t="s">
        <v>144</v>
      </c>
      <c r="AG40" s="1">
        <f t="shared" si="49"/>
        <v>6</v>
      </c>
      <c r="AH40" s="1">
        <f t="shared" si="50"/>
        <v>9</v>
      </c>
      <c r="AI40" s="1">
        <f t="shared" si="51"/>
        <v>9</v>
      </c>
      <c r="AJ40" s="69">
        <f t="shared" si="52"/>
        <v>0</v>
      </c>
      <c r="AK40" s="83" t="s">
        <v>93</v>
      </c>
      <c r="AL40" s="1">
        <f t="shared" si="53"/>
        <v>36</v>
      </c>
      <c r="AM40" s="1">
        <f t="shared" si="54"/>
        <v>30</v>
      </c>
      <c r="AN40" s="1">
        <f t="shared" si="55"/>
        <v>15</v>
      </c>
      <c r="AO40" s="98">
        <f>Summary[[#This Row],[3*2]]+Summary[[#This Row],[3*22]]+Summary[[#This Row],[3*23]]</f>
        <v>57</v>
      </c>
      <c r="AP40" s="97">
        <f>Summary[[#This Row],[2*2]]+Summary[[#This Row],[2*23]]+Summary[[#This Row],[2*24]]</f>
        <v>66</v>
      </c>
      <c r="AQ40" s="97">
        <f>Summary[[#This Row],[1*2]]+Summary[[#This Row],[1*24]]+Summary[[#This Row],[1*25]]</f>
        <v>18</v>
      </c>
      <c r="AR40" s="97">
        <f t="shared" si="56"/>
        <v>19</v>
      </c>
      <c r="AS40" s="97">
        <f t="shared" si="57"/>
        <v>22</v>
      </c>
      <c r="AT40" s="97">
        <f t="shared" si="58"/>
        <v>6</v>
      </c>
      <c r="AU40" s="97">
        <f t="shared" si="59"/>
        <v>19</v>
      </c>
      <c r="AV40" s="97">
        <f t="shared" si="60"/>
        <v>22</v>
      </c>
      <c r="AW40" s="97">
        <f t="shared" si="61"/>
        <v>6</v>
      </c>
      <c r="AX40" s="97">
        <f t="shared" si="62"/>
        <v>19</v>
      </c>
      <c r="AY40" s="97">
        <f t="shared" si="63"/>
        <v>22</v>
      </c>
      <c r="AZ40" s="97">
        <f t="shared" si="64"/>
        <v>6</v>
      </c>
      <c r="BA40" s="83">
        <f>SUM(Summary[[#This Row],[3* (Tal)]],Summary[[#This Row],[3* (Asc)]])</f>
        <v>93</v>
      </c>
      <c r="BB40" s="1">
        <f>SUM(Summary[[#This Row],[2* (Tal)]],Summary[[#This Row],[2* (Asc)]])</f>
        <v>96</v>
      </c>
      <c r="BC40" s="69">
        <f>SUM(Summary[[#This Row],[1* (Tal)]],Summary[[#This Row],[1* (Asc)]])</f>
        <v>33</v>
      </c>
    </row>
    <row r="41" spans="1:55" x14ac:dyDescent="0.25">
      <c r="A41" s="86">
        <f>SUBTOTAL(3,$B$3:B41)</f>
        <v>39</v>
      </c>
      <c r="B41" s="88" t="s">
        <v>167</v>
      </c>
      <c r="C41" s="90" t="s">
        <v>139</v>
      </c>
      <c r="D41" s="16">
        <v>90</v>
      </c>
      <c r="E41" s="11">
        <v>10</v>
      </c>
      <c r="F41" s="2">
        <v>10</v>
      </c>
      <c r="G41" s="12">
        <v>10</v>
      </c>
      <c r="H41" s="83" t="s">
        <v>168</v>
      </c>
      <c r="I41" s="12">
        <f t="shared" si="42"/>
        <v>0</v>
      </c>
      <c r="J41" s="92">
        <f t="shared" si="43"/>
        <v>0</v>
      </c>
      <c r="K41" s="93" t="s">
        <v>169</v>
      </c>
      <c r="L41" s="94">
        <f t="shared" si="44"/>
        <v>0</v>
      </c>
      <c r="M41" s="94">
        <f t="shared" si="45"/>
        <v>0</v>
      </c>
      <c r="N41" s="95">
        <f t="shared" si="46"/>
        <v>0</v>
      </c>
      <c r="O41" s="93">
        <f t="shared" si="65"/>
        <v>0</v>
      </c>
      <c r="P41" s="94">
        <f t="shared" si="66"/>
        <v>0</v>
      </c>
      <c r="Q41" s="94">
        <f t="shared" si="67"/>
        <v>0</v>
      </c>
      <c r="R41" s="94">
        <f t="shared" si="68"/>
        <v>0</v>
      </c>
      <c r="S41" s="94">
        <f t="shared" si="69"/>
        <v>0</v>
      </c>
      <c r="T41" s="94">
        <f t="shared" si="70"/>
        <v>0</v>
      </c>
      <c r="U41" s="94">
        <f t="shared" si="71"/>
        <v>0</v>
      </c>
      <c r="V41" s="94">
        <f t="shared" si="72"/>
        <v>0</v>
      </c>
      <c r="W41" s="95">
        <f t="shared" si="73"/>
        <v>0</v>
      </c>
      <c r="X41" s="10" t="s">
        <v>90</v>
      </c>
      <c r="Y41" s="1" t="s">
        <v>170</v>
      </c>
      <c r="Z41" s="1">
        <f t="shared" si="39"/>
        <v>0</v>
      </c>
      <c r="AA41" s="1">
        <f t="shared" si="40"/>
        <v>0</v>
      </c>
      <c r="AB41" s="1">
        <f t="shared" si="41"/>
        <v>0</v>
      </c>
      <c r="AC41" s="12">
        <f t="shared" si="47"/>
        <v>0</v>
      </c>
      <c r="AD41" s="1" t="s">
        <v>171</v>
      </c>
      <c r="AE41" s="2">
        <f t="shared" si="48"/>
        <v>0</v>
      </c>
      <c r="AF41" s="83" t="s">
        <v>144</v>
      </c>
      <c r="AG41" s="1">
        <f t="shared" si="49"/>
        <v>0</v>
      </c>
      <c r="AH41" s="1">
        <f t="shared" si="50"/>
        <v>0</v>
      </c>
      <c r="AI41" s="1">
        <f t="shared" si="51"/>
        <v>0</v>
      </c>
      <c r="AJ41" s="69">
        <f t="shared" si="52"/>
        <v>0</v>
      </c>
      <c r="AK41" s="83" t="s">
        <v>125</v>
      </c>
      <c r="AL41" s="1">
        <f t="shared" si="53"/>
        <v>0</v>
      </c>
      <c r="AM41" s="1">
        <f t="shared" si="54"/>
        <v>0</v>
      </c>
      <c r="AN41" s="1">
        <f t="shared" si="55"/>
        <v>0</v>
      </c>
      <c r="AO41" s="98">
        <f>Summary[[#This Row],[3*2]]+Summary[[#This Row],[3*22]]+Summary[[#This Row],[3*23]]</f>
        <v>0</v>
      </c>
      <c r="AP41" s="97">
        <f>Summary[[#This Row],[2*2]]+Summary[[#This Row],[2*23]]+Summary[[#This Row],[2*24]]</f>
        <v>0</v>
      </c>
      <c r="AQ41" s="97">
        <f>Summary[[#This Row],[1*2]]+Summary[[#This Row],[1*24]]+Summary[[#This Row],[1*25]]</f>
        <v>0</v>
      </c>
      <c r="AR41" s="97">
        <f t="shared" si="56"/>
        <v>0</v>
      </c>
      <c r="AS41" s="97">
        <f t="shared" si="57"/>
        <v>0</v>
      </c>
      <c r="AT41" s="97">
        <f t="shared" si="58"/>
        <v>0</v>
      </c>
      <c r="AU41" s="97">
        <f t="shared" si="59"/>
        <v>0</v>
      </c>
      <c r="AV41" s="97">
        <f t="shared" si="60"/>
        <v>0</v>
      </c>
      <c r="AW41" s="97">
        <f t="shared" si="61"/>
        <v>0</v>
      </c>
      <c r="AX41" s="97">
        <f t="shared" si="62"/>
        <v>0</v>
      </c>
      <c r="AY41" s="97">
        <f t="shared" si="63"/>
        <v>0</v>
      </c>
      <c r="AZ41" s="97">
        <f t="shared" si="64"/>
        <v>0</v>
      </c>
      <c r="BA41" s="83">
        <f>SUM(Summary[[#This Row],[3* (Tal)]],Summary[[#This Row],[3* (Asc)]])</f>
        <v>0</v>
      </c>
      <c r="BB41" s="1">
        <f>SUM(Summary[[#This Row],[2* (Tal)]],Summary[[#This Row],[2* (Asc)]])</f>
        <v>0</v>
      </c>
      <c r="BC41" s="69">
        <f>SUM(Summary[[#This Row],[1* (Tal)]],Summary[[#This Row],[1* (Asc)]])</f>
        <v>0</v>
      </c>
    </row>
    <row r="42" spans="1:55" x14ac:dyDescent="0.25">
      <c r="A42" s="86">
        <f>SUBTOTAL(3,$B$3:B42)</f>
        <v>40</v>
      </c>
      <c r="B42" s="88" t="s">
        <v>263</v>
      </c>
      <c r="C42" s="90" t="s">
        <v>252</v>
      </c>
      <c r="D42" s="16" t="s">
        <v>69</v>
      </c>
      <c r="E42" s="11" t="s">
        <v>69</v>
      </c>
      <c r="F42" s="2" t="s">
        <v>69</v>
      </c>
      <c r="G42" s="12" t="s">
        <v>69</v>
      </c>
      <c r="H42" s="83" t="s">
        <v>264</v>
      </c>
      <c r="I42" s="12">
        <f t="shared" si="42"/>
        <v>0</v>
      </c>
      <c r="J42" s="92">
        <f t="shared" si="43"/>
        <v>0</v>
      </c>
      <c r="K42" s="93" t="s">
        <v>169</v>
      </c>
      <c r="L42" s="94">
        <f t="shared" si="44"/>
        <v>0</v>
      </c>
      <c r="M42" s="94">
        <f t="shared" si="45"/>
        <v>0</v>
      </c>
      <c r="N42" s="95">
        <f t="shared" si="46"/>
        <v>0</v>
      </c>
      <c r="O42" s="93">
        <f t="shared" si="65"/>
        <v>0</v>
      </c>
      <c r="P42" s="94">
        <f t="shared" si="66"/>
        <v>0</v>
      </c>
      <c r="Q42" s="94">
        <f t="shared" si="67"/>
        <v>0</v>
      </c>
      <c r="R42" s="94">
        <f t="shared" si="68"/>
        <v>0</v>
      </c>
      <c r="S42" s="94">
        <f t="shared" si="69"/>
        <v>0</v>
      </c>
      <c r="T42" s="94">
        <f t="shared" si="70"/>
        <v>0</v>
      </c>
      <c r="U42" s="94">
        <f t="shared" si="71"/>
        <v>0</v>
      </c>
      <c r="V42" s="94">
        <f t="shared" si="72"/>
        <v>0</v>
      </c>
      <c r="W42" s="95">
        <f t="shared" si="73"/>
        <v>0</v>
      </c>
      <c r="X42" s="10" t="s">
        <v>104</v>
      </c>
      <c r="Y42" s="1" t="s">
        <v>191</v>
      </c>
      <c r="Z42" s="1">
        <f t="shared" ref="Z42:Z73" si="74">(IF(E42&lt;=6,"4",IF(E42&lt;=7,"3",IF(E42&lt;=8,"2","0"))))+0</f>
        <v>0</v>
      </c>
      <c r="AA42" s="1">
        <f t="shared" ref="AA42:AA73" si="75">(IF(F42&lt;=6,"4",IF(F42&lt;=7,"3",IF(F42&lt;=8,"2","0"))))+0</f>
        <v>0</v>
      </c>
      <c r="AB42" s="1">
        <f t="shared" ref="AB42:AB73" si="76">(IF(G42&lt;=6,"4",IF(G42&lt;=7,"3",IF(G42&lt;=8,"2","0"))))+0</f>
        <v>0</v>
      </c>
      <c r="AC42" s="12">
        <f t="shared" si="47"/>
        <v>0</v>
      </c>
      <c r="AD42" s="1" t="s">
        <v>171</v>
      </c>
      <c r="AE42" s="2">
        <f t="shared" si="48"/>
        <v>0</v>
      </c>
      <c r="AF42" s="83" t="s">
        <v>256</v>
      </c>
      <c r="AG42" s="1">
        <f t="shared" si="49"/>
        <v>0</v>
      </c>
      <c r="AH42" s="1">
        <f t="shared" si="50"/>
        <v>0</v>
      </c>
      <c r="AI42" s="1">
        <f t="shared" si="51"/>
        <v>0</v>
      </c>
      <c r="AJ42" s="69">
        <f t="shared" si="52"/>
        <v>0</v>
      </c>
      <c r="AK42" s="83" t="s">
        <v>125</v>
      </c>
      <c r="AL42" s="1">
        <f t="shared" si="53"/>
        <v>0</v>
      </c>
      <c r="AM42" s="1">
        <f t="shared" si="54"/>
        <v>0</v>
      </c>
      <c r="AN42" s="1">
        <f t="shared" si="55"/>
        <v>0</v>
      </c>
      <c r="AO42" s="98">
        <f>Summary[[#This Row],[3*2]]+Summary[[#This Row],[3*22]]+Summary[[#This Row],[3*23]]</f>
        <v>0</v>
      </c>
      <c r="AP42" s="97">
        <f>Summary[[#This Row],[2*2]]+Summary[[#This Row],[2*23]]+Summary[[#This Row],[2*24]]</f>
        <v>0</v>
      </c>
      <c r="AQ42" s="97">
        <f>Summary[[#This Row],[1*2]]+Summary[[#This Row],[1*24]]+Summary[[#This Row],[1*25]]</f>
        <v>0</v>
      </c>
      <c r="AR42" s="97">
        <f t="shared" si="56"/>
        <v>0</v>
      </c>
      <c r="AS42" s="97">
        <f t="shared" si="57"/>
        <v>0</v>
      </c>
      <c r="AT42" s="97">
        <f t="shared" si="58"/>
        <v>0</v>
      </c>
      <c r="AU42" s="97">
        <f t="shared" si="59"/>
        <v>0</v>
      </c>
      <c r="AV42" s="97">
        <f t="shared" si="60"/>
        <v>0</v>
      </c>
      <c r="AW42" s="97">
        <f t="shared" si="61"/>
        <v>0</v>
      </c>
      <c r="AX42" s="97">
        <f t="shared" si="62"/>
        <v>0</v>
      </c>
      <c r="AY42" s="97">
        <f t="shared" si="63"/>
        <v>0</v>
      </c>
      <c r="AZ42" s="97">
        <f t="shared" si="64"/>
        <v>0</v>
      </c>
      <c r="BA42" s="83">
        <f>SUM(Summary[[#This Row],[3* (Tal)]],Summary[[#This Row],[3* (Asc)]])</f>
        <v>0</v>
      </c>
      <c r="BB42" s="1">
        <f>SUM(Summary[[#This Row],[2* (Tal)]],Summary[[#This Row],[2* (Asc)]])</f>
        <v>0</v>
      </c>
      <c r="BC42" s="69">
        <f>SUM(Summary[[#This Row],[1* (Tal)]],Summary[[#This Row],[1* (Asc)]])</f>
        <v>0</v>
      </c>
    </row>
    <row r="43" spans="1:55" x14ac:dyDescent="0.25">
      <c r="A43" s="86">
        <f>SUBTOTAL(3,$B$3:B43)</f>
        <v>41</v>
      </c>
      <c r="B43" s="88" t="s">
        <v>201</v>
      </c>
      <c r="C43" s="90" t="s">
        <v>190</v>
      </c>
      <c r="D43" s="16">
        <v>22</v>
      </c>
      <c r="E43" s="11">
        <v>1</v>
      </c>
      <c r="F43" s="2">
        <v>1</v>
      </c>
      <c r="G43" s="12">
        <v>1</v>
      </c>
      <c r="H43" s="83" t="s">
        <v>202</v>
      </c>
      <c r="I43" s="12">
        <f t="shared" si="42"/>
        <v>46</v>
      </c>
      <c r="J43" s="92">
        <f t="shared" si="43"/>
        <v>402</v>
      </c>
      <c r="K43" s="93" t="s">
        <v>173</v>
      </c>
      <c r="L43" s="94">
        <f t="shared" si="44"/>
        <v>66</v>
      </c>
      <c r="M43" s="94">
        <f t="shared" si="45"/>
        <v>63</v>
      </c>
      <c r="N43" s="95">
        <f t="shared" si="46"/>
        <v>9</v>
      </c>
      <c r="O43" s="93">
        <f t="shared" si="65"/>
        <v>22</v>
      </c>
      <c r="P43" s="94">
        <f t="shared" si="66"/>
        <v>21</v>
      </c>
      <c r="Q43" s="94">
        <f t="shared" si="67"/>
        <v>3</v>
      </c>
      <c r="R43" s="94">
        <f t="shared" si="68"/>
        <v>22</v>
      </c>
      <c r="S43" s="94">
        <f t="shared" si="69"/>
        <v>21</v>
      </c>
      <c r="T43" s="94">
        <f t="shared" si="70"/>
        <v>3</v>
      </c>
      <c r="U43" s="94">
        <f t="shared" si="71"/>
        <v>22</v>
      </c>
      <c r="V43" s="94">
        <f t="shared" si="72"/>
        <v>21</v>
      </c>
      <c r="W43" s="95">
        <f t="shared" si="73"/>
        <v>3</v>
      </c>
      <c r="X43" s="10" t="s">
        <v>97</v>
      </c>
      <c r="Y43" s="1" t="s">
        <v>188</v>
      </c>
      <c r="Z43" s="1">
        <f t="shared" si="74"/>
        <v>4</v>
      </c>
      <c r="AA43" s="1">
        <f t="shared" si="75"/>
        <v>4</v>
      </c>
      <c r="AB43" s="1">
        <f t="shared" si="76"/>
        <v>4</v>
      </c>
      <c r="AC43" s="12">
        <f t="shared" si="47"/>
        <v>12</v>
      </c>
      <c r="AD43" s="1" t="s">
        <v>203</v>
      </c>
      <c r="AE43" s="2">
        <f t="shared" si="48"/>
        <v>165</v>
      </c>
      <c r="AF43" s="83" t="s">
        <v>194</v>
      </c>
      <c r="AG43" s="1">
        <f t="shared" si="49"/>
        <v>6</v>
      </c>
      <c r="AH43" s="1">
        <f t="shared" si="50"/>
        <v>9</v>
      </c>
      <c r="AI43" s="1">
        <f t="shared" si="51"/>
        <v>9</v>
      </c>
      <c r="AJ43" s="69">
        <f t="shared" si="52"/>
        <v>0</v>
      </c>
      <c r="AK43" s="83" t="s">
        <v>197</v>
      </c>
      <c r="AL43" s="1">
        <f t="shared" si="53"/>
        <v>36</v>
      </c>
      <c r="AM43" s="1">
        <f t="shared" si="54"/>
        <v>30</v>
      </c>
      <c r="AN43" s="1">
        <f t="shared" si="55"/>
        <v>15</v>
      </c>
      <c r="AO43" s="98">
        <f>Summary[[#This Row],[3*2]]+Summary[[#This Row],[3*22]]+Summary[[#This Row],[3*23]]</f>
        <v>57</v>
      </c>
      <c r="AP43" s="97">
        <f>Summary[[#This Row],[2*2]]+Summary[[#This Row],[2*23]]+Summary[[#This Row],[2*24]]</f>
        <v>66</v>
      </c>
      <c r="AQ43" s="97">
        <f>Summary[[#This Row],[1*2]]+Summary[[#This Row],[1*24]]+Summary[[#This Row],[1*25]]</f>
        <v>18</v>
      </c>
      <c r="AR43" s="97">
        <f t="shared" si="56"/>
        <v>19</v>
      </c>
      <c r="AS43" s="97">
        <f t="shared" si="57"/>
        <v>22</v>
      </c>
      <c r="AT43" s="97">
        <f t="shared" si="58"/>
        <v>6</v>
      </c>
      <c r="AU43" s="97">
        <f t="shared" si="59"/>
        <v>19</v>
      </c>
      <c r="AV43" s="97">
        <f t="shared" si="60"/>
        <v>22</v>
      </c>
      <c r="AW43" s="97">
        <f t="shared" si="61"/>
        <v>6</v>
      </c>
      <c r="AX43" s="97">
        <f t="shared" si="62"/>
        <v>19</v>
      </c>
      <c r="AY43" s="97">
        <f t="shared" si="63"/>
        <v>22</v>
      </c>
      <c r="AZ43" s="97">
        <f t="shared" si="64"/>
        <v>6</v>
      </c>
      <c r="BA43" s="83">
        <f>SUM(Summary[[#This Row],[3* (Tal)]],Summary[[#This Row],[3* (Asc)]])</f>
        <v>93</v>
      </c>
      <c r="BB43" s="1">
        <f>SUM(Summary[[#This Row],[2* (Tal)]],Summary[[#This Row],[2* (Asc)]])</f>
        <v>96</v>
      </c>
      <c r="BC43" s="69">
        <f>SUM(Summary[[#This Row],[1* (Tal)]],Summary[[#This Row],[1* (Asc)]])</f>
        <v>33</v>
      </c>
    </row>
    <row r="44" spans="1:55" x14ac:dyDescent="0.25">
      <c r="A44" s="86">
        <f>SUBTOTAL(3,$B$3:B44)</f>
        <v>42</v>
      </c>
      <c r="B44" s="88" t="s">
        <v>87</v>
      </c>
      <c r="C44" s="90" t="s">
        <v>67</v>
      </c>
      <c r="D44" s="16">
        <v>90</v>
      </c>
      <c r="E44" s="11">
        <v>1</v>
      </c>
      <c r="F44" s="2">
        <v>9</v>
      </c>
      <c r="G44" s="12">
        <v>9</v>
      </c>
      <c r="H44" s="83" t="s">
        <v>88</v>
      </c>
      <c r="I44" s="12">
        <f t="shared" si="42"/>
        <v>0</v>
      </c>
      <c r="J44" s="92">
        <f t="shared" si="43"/>
        <v>0</v>
      </c>
      <c r="K44" s="93" t="s">
        <v>89</v>
      </c>
      <c r="L44" s="94">
        <f t="shared" si="44"/>
        <v>22</v>
      </c>
      <c r="M44" s="94">
        <f t="shared" si="45"/>
        <v>21</v>
      </c>
      <c r="N44" s="95">
        <f t="shared" si="46"/>
        <v>3</v>
      </c>
      <c r="O44" s="93">
        <f t="shared" si="65"/>
        <v>22</v>
      </c>
      <c r="P44" s="94">
        <f t="shared" si="66"/>
        <v>21</v>
      </c>
      <c r="Q44" s="94">
        <f t="shared" si="67"/>
        <v>3</v>
      </c>
      <c r="R44" s="94">
        <f t="shared" si="68"/>
        <v>0</v>
      </c>
      <c r="S44" s="94">
        <f t="shared" si="69"/>
        <v>0</v>
      </c>
      <c r="T44" s="94">
        <f t="shared" si="70"/>
        <v>0</v>
      </c>
      <c r="U44" s="94">
        <f t="shared" si="71"/>
        <v>0</v>
      </c>
      <c r="V44" s="94">
        <f t="shared" si="72"/>
        <v>0</v>
      </c>
      <c r="W44" s="95">
        <f t="shared" si="73"/>
        <v>0</v>
      </c>
      <c r="X44" s="10" t="s">
        <v>90</v>
      </c>
      <c r="Y44" s="1" t="s">
        <v>91</v>
      </c>
      <c r="Z44" s="1">
        <f t="shared" si="74"/>
        <v>4</v>
      </c>
      <c r="AA44" s="1">
        <f t="shared" si="75"/>
        <v>0</v>
      </c>
      <c r="AB44" s="1">
        <f t="shared" si="76"/>
        <v>0</v>
      </c>
      <c r="AC44" s="12">
        <f t="shared" si="47"/>
        <v>4</v>
      </c>
      <c r="AD44" s="1" t="s">
        <v>92</v>
      </c>
      <c r="AE44" s="2">
        <f t="shared" si="48"/>
        <v>0</v>
      </c>
      <c r="AF44" s="83" t="s">
        <v>80</v>
      </c>
      <c r="AG44" s="1">
        <f t="shared" si="49"/>
        <v>0</v>
      </c>
      <c r="AH44" s="1">
        <f t="shared" si="50"/>
        <v>0</v>
      </c>
      <c r="AI44" s="1">
        <f t="shared" si="51"/>
        <v>0</v>
      </c>
      <c r="AJ44" s="69">
        <f t="shared" si="52"/>
        <v>0</v>
      </c>
      <c r="AK44" s="83" t="s">
        <v>93</v>
      </c>
      <c r="AL44" s="1">
        <f t="shared" si="53"/>
        <v>0</v>
      </c>
      <c r="AM44" s="1">
        <f t="shared" si="54"/>
        <v>0</v>
      </c>
      <c r="AN44" s="1">
        <f t="shared" si="55"/>
        <v>0</v>
      </c>
      <c r="AO44" s="98">
        <f>Summary[[#This Row],[3*2]]+Summary[[#This Row],[3*22]]+Summary[[#This Row],[3*23]]</f>
        <v>19</v>
      </c>
      <c r="AP44" s="97">
        <f>Summary[[#This Row],[2*2]]+Summary[[#This Row],[2*23]]+Summary[[#This Row],[2*24]]</f>
        <v>22</v>
      </c>
      <c r="AQ44" s="97">
        <f>Summary[[#This Row],[1*2]]+Summary[[#This Row],[1*24]]+Summary[[#This Row],[1*25]]</f>
        <v>6</v>
      </c>
      <c r="AR44" s="97">
        <f t="shared" si="56"/>
        <v>19</v>
      </c>
      <c r="AS44" s="97">
        <f t="shared" si="57"/>
        <v>22</v>
      </c>
      <c r="AT44" s="97">
        <f t="shared" si="58"/>
        <v>6</v>
      </c>
      <c r="AU44" s="97">
        <f t="shared" si="59"/>
        <v>0</v>
      </c>
      <c r="AV44" s="97">
        <f t="shared" si="60"/>
        <v>0</v>
      </c>
      <c r="AW44" s="97">
        <f t="shared" si="61"/>
        <v>0</v>
      </c>
      <c r="AX44" s="97">
        <f t="shared" si="62"/>
        <v>0</v>
      </c>
      <c r="AY44" s="97">
        <f t="shared" si="63"/>
        <v>0</v>
      </c>
      <c r="AZ44" s="97">
        <f t="shared" si="64"/>
        <v>0</v>
      </c>
      <c r="BA44" s="83">
        <f>SUM(Summary[[#This Row],[3* (Tal)]],Summary[[#This Row],[3* (Asc)]])</f>
        <v>19</v>
      </c>
      <c r="BB44" s="1">
        <f>SUM(Summary[[#This Row],[2* (Tal)]],Summary[[#This Row],[2* (Asc)]])</f>
        <v>22</v>
      </c>
      <c r="BC44" s="69">
        <f>SUM(Summary[[#This Row],[1* (Tal)]],Summary[[#This Row],[1* (Asc)]])</f>
        <v>6</v>
      </c>
    </row>
    <row r="45" spans="1:55" x14ac:dyDescent="0.25">
      <c r="A45" s="86">
        <f>SUBTOTAL(3,$B$3:B45)</f>
        <v>43</v>
      </c>
      <c r="B45" s="88" t="s">
        <v>222</v>
      </c>
      <c r="C45" s="90" t="s">
        <v>212</v>
      </c>
      <c r="D45" s="16">
        <v>70</v>
      </c>
      <c r="E45" s="11">
        <v>5</v>
      </c>
      <c r="F45" s="2">
        <v>5</v>
      </c>
      <c r="G45" s="12">
        <v>6</v>
      </c>
      <c r="H45" s="83" t="s">
        <v>215</v>
      </c>
      <c r="I45" s="12">
        <f t="shared" si="42"/>
        <v>32</v>
      </c>
      <c r="J45" s="92">
        <f t="shared" si="43"/>
        <v>252</v>
      </c>
      <c r="K45" s="93" t="s">
        <v>135</v>
      </c>
      <c r="L45" s="94">
        <f t="shared" si="44"/>
        <v>66</v>
      </c>
      <c r="M45" s="94">
        <f t="shared" si="45"/>
        <v>18</v>
      </c>
      <c r="N45" s="95">
        <f t="shared" si="46"/>
        <v>0</v>
      </c>
      <c r="O45" s="93">
        <f t="shared" si="65"/>
        <v>22</v>
      </c>
      <c r="P45" s="94">
        <f t="shared" si="66"/>
        <v>9</v>
      </c>
      <c r="Q45" s="94">
        <f t="shared" si="67"/>
        <v>0</v>
      </c>
      <c r="R45" s="94">
        <f t="shared" si="68"/>
        <v>22</v>
      </c>
      <c r="S45" s="94">
        <f t="shared" si="69"/>
        <v>9</v>
      </c>
      <c r="T45" s="94">
        <f t="shared" si="70"/>
        <v>0</v>
      </c>
      <c r="U45" s="94">
        <f t="shared" si="71"/>
        <v>22</v>
      </c>
      <c r="V45" s="94">
        <f t="shared" si="72"/>
        <v>0</v>
      </c>
      <c r="W45" s="95">
        <f t="shared" si="73"/>
        <v>0</v>
      </c>
      <c r="X45" s="10" t="s">
        <v>113</v>
      </c>
      <c r="Y45" s="1" t="s">
        <v>223</v>
      </c>
      <c r="Z45" s="1">
        <f t="shared" si="74"/>
        <v>4</v>
      </c>
      <c r="AA45" s="1">
        <f t="shared" si="75"/>
        <v>4</v>
      </c>
      <c r="AB45" s="1">
        <f t="shared" si="76"/>
        <v>4</v>
      </c>
      <c r="AC45" s="12">
        <f t="shared" si="47"/>
        <v>12</v>
      </c>
      <c r="AD45" s="1" t="s">
        <v>153</v>
      </c>
      <c r="AE45" s="2">
        <f t="shared" si="48"/>
        <v>105</v>
      </c>
      <c r="AF45" s="83" t="s">
        <v>217</v>
      </c>
      <c r="AG45" s="1">
        <f t="shared" si="49"/>
        <v>6</v>
      </c>
      <c r="AH45" s="1">
        <f t="shared" si="50"/>
        <v>6</v>
      </c>
      <c r="AI45" s="1">
        <f t="shared" si="51"/>
        <v>0</v>
      </c>
      <c r="AJ45" s="69">
        <f t="shared" si="52"/>
        <v>0</v>
      </c>
      <c r="AK45" s="83" t="s">
        <v>110</v>
      </c>
      <c r="AL45" s="1">
        <f t="shared" si="53"/>
        <v>36</v>
      </c>
      <c r="AM45" s="1">
        <f t="shared" si="54"/>
        <v>0</v>
      </c>
      <c r="AN45" s="1">
        <f t="shared" si="55"/>
        <v>0</v>
      </c>
      <c r="AO45" s="98">
        <f>Summary[[#This Row],[3*2]]+Summary[[#This Row],[3*22]]+Summary[[#This Row],[3*23]]</f>
        <v>57</v>
      </c>
      <c r="AP45" s="97">
        <f>Summary[[#This Row],[2*2]]+Summary[[#This Row],[2*23]]+Summary[[#This Row],[2*24]]</f>
        <v>18</v>
      </c>
      <c r="AQ45" s="97">
        <f>Summary[[#This Row],[1*2]]+Summary[[#This Row],[1*24]]+Summary[[#This Row],[1*25]]</f>
        <v>0</v>
      </c>
      <c r="AR45" s="97">
        <f t="shared" si="56"/>
        <v>19</v>
      </c>
      <c r="AS45" s="97">
        <f t="shared" si="57"/>
        <v>9</v>
      </c>
      <c r="AT45" s="97">
        <f t="shared" si="58"/>
        <v>0</v>
      </c>
      <c r="AU45" s="97">
        <f t="shared" si="59"/>
        <v>19</v>
      </c>
      <c r="AV45" s="97">
        <f t="shared" si="60"/>
        <v>9</v>
      </c>
      <c r="AW45" s="97">
        <f t="shared" si="61"/>
        <v>0</v>
      </c>
      <c r="AX45" s="97">
        <f t="shared" si="62"/>
        <v>19</v>
      </c>
      <c r="AY45" s="97">
        <f t="shared" si="63"/>
        <v>0</v>
      </c>
      <c r="AZ45" s="97">
        <f t="shared" si="64"/>
        <v>0</v>
      </c>
      <c r="BA45" s="83">
        <f>SUM(Summary[[#This Row],[3* (Tal)]],Summary[[#This Row],[3* (Asc)]])</f>
        <v>93</v>
      </c>
      <c r="BB45" s="1">
        <f>SUM(Summary[[#This Row],[2* (Tal)]],Summary[[#This Row],[2* (Asc)]])</f>
        <v>18</v>
      </c>
      <c r="BC45" s="69">
        <f>SUM(Summary[[#This Row],[1* (Tal)]],Summary[[#This Row],[1* (Asc)]])</f>
        <v>0</v>
      </c>
    </row>
    <row r="46" spans="1:55" x14ac:dyDescent="0.25">
      <c r="A46" s="86">
        <f>SUBTOTAL(3,$B$3:B46)</f>
        <v>44</v>
      </c>
      <c r="B46" s="88" t="s">
        <v>204</v>
      </c>
      <c r="C46" s="90" t="s">
        <v>190</v>
      </c>
      <c r="D46" s="16">
        <v>21</v>
      </c>
      <c r="E46" s="11">
        <v>1</v>
      </c>
      <c r="F46" s="2">
        <v>1</v>
      </c>
      <c r="G46" s="12">
        <v>1</v>
      </c>
      <c r="H46" s="83" t="s">
        <v>196</v>
      </c>
      <c r="I46" s="12">
        <f t="shared" si="42"/>
        <v>46</v>
      </c>
      <c r="J46" s="92">
        <f t="shared" si="43"/>
        <v>402</v>
      </c>
      <c r="K46" s="93" t="s">
        <v>103</v>
      </c>
      <c r="L46" s="94">
        <f t="shared" si="44"/>
        <v>66</v>
      </c>
      <c r="M46" s="94">
        <f t="shared" si="45"/>
        <v>63</v>
      </c>
      <c r="N46" s="95">
        <f t="shared" si="46"/>
        <v>9</v>
      </c>
      <c r="O46" s="93">
        <f t="shared" si="65"/>
        <v>22</v>
      </c>
      <c r="P46" s="94">
        <f t="shared" si="66"/>
        <v>21</v>
      </c>
      <c r="Q46" s="94">
        <f t="shared" si="67"/>
        <v>3</v>
      </c>
      <c r="R46" s="94">
        <f t="shared" si="68"/>
        <v>22</v>
      </c>
      <c r="S46" s="94">
        <f t="shared" si="69"/>
        <v>21</v>
      </c>
      <c r="T46" s="94">
        <f t="shared" si="70"/>
        <v>3</v>
      </c>
      <c r="U46" s="94">
        <f t="shared" si="71"/>
        <v>22</v>
      </c>
      <c r="V46" s="94">
        <f t="shared" si="72"/>
        <v>21</v>
      </c>
      <c r="W46" s="95">
        <f t="shared" si="73"/>
        <v>3</v>
      </c>
      <c r="X46" s="10" t="s">
        <v>97</v>
      </c>
      <c r="Y46" s="1" t="s">
        <v>98</v>
      </c>
      <c r="Z46" s="1">
        <f t="shared" si="74"/>
        <v>4</v>
      </c>
      <c r="AA46" s="1">
        <f t="shared" si="75"/>
        <v>4</v>
      </c>
      <c r="AB46" s="1">
        <f t="shared" si="76"/>
        <v>4</v>
      </c>
      <c r="AC46" s="12">
        <f t="shared" si="47"/>
        <v>12</v>
      </c>
      <c r="AD46" s="1" t="s">
        <v>205</v>
      </c>
      <c r="AE46" s="2">
        <f t="shared" si="48"/>
        <v>165</v>
      </c>
      <c r="AF46" s="83" t="s">
        <v>194</v>
      </c>
      <c r="AG46" s="1">
        <f t="shared" si="49"/>
        <v>6</v>
      </c>
      <c r="AH46" s="1">
        <f t="shared" si="50"/>
        <v>9</v>
      </c>
      <c r="AI46" s="1">
        <f t="shared" si="51"/>
        <v>9</v>
      </c>
      <c r="AJ46" s="69">
        <f t="shared" si="52"/>
        <v>0</v>
      </c>
      <c r="AK46" s="83" t="s">
        <v>145</v>
      </c>
      <c r="AL46" s="1">
        <f t="shared" si="53"/>
        <v>36</v>
      </c>
      <c r="AM46" s="1">
        <f t="shared" si="54"/>
        <v>30</v>
      </c>
      <c r="AN46" s="1">
        <f t="shared" si="55"/>
        <v>15</v>
      </c>
      <c r="AO46" s="98">
        <f>Summary[[#This Row],[3*2]]+Summary[[#This Row],[3*22]]+Summary[[#This Row],[3*23]]</f>
        <v>57</v>
      </c>
      <c r="AP46" s="97">
        <f>Summary[[#This Row],[2*2]]+Summary[[#This Row],[2*23]]+Summary[[#This Row],[2*24]]</f>
        <v>66</v>
      </c>
      <c r="AQ46" s="97">
        <f>Summary[[#This Row],[1*2]]+Summary[[#This Row],[1*24]]+Summary[[#This Row],[1*25]]</f>
        <v>18</v>
      </c>
      <c r="AR46" s="97">
        <f t="shared" si="56"/>
        <v>19</v>
      </c>
      <c r="AS46" s="97">
        <f t="shared" si="57"/>
        <v>22</v>
      </c>
      <c r="AT46" s="97">
        <f t="shared" si="58"/>
        <v>6</v>
      </c>
      <c r="AU46" s="97">
        <f t="shared" si="59"/>
        <v>19</v>
      </c>
      <c r="AV46" s="97">
        <f t="shared" si="60"/>
        <v>22</v>
      </c>
      <c r="AW46" s="97">
        <f t="shared" si="61"/>
        <v>6</v>
      </c>
      <c r="AX46" s="97">
        <f t="shared" si="62"/>
        <v>19</v>
      </c>
      <c r="AY46" s="97">
        <f t="shared" si="63"/>
        <v>22</v>
      </c>
      <c r="AZ46" s="97">
        <f t="shared" si="64"/>
        <v>6</v>
      </c>
      <c r="BA46" s="83">
        <f>SUM(Summary[[#This Row],[3* (Tal)]],Summary[[#This Row],[3* (Asc)]])</f>
        <v>93</v>
      </c>
      <c r="BB46" s="1">
        <f>SUM(Summary[[#This Row],[2* (Tal)]],Summary[[#This Row],[2* (Asc)]])</f>
        <v>96</v>
      </c>
      <c r="BC46" s="69">
        <f>SUM(Summary[[#This Row],[1* (Tal)]],Summary[[#This Row],[1* (Asc)]])</f>
        <v>33</v>
      </c>
    </row>
    <row r="47" spans="1:55" x14ac:dyDescent="0.25">
      <c r="A47" s="86">
        <f>SUBTOTAL(3,$B$3:B47)</f>
        <v>45</v>
      </c>
      <c r="B47" s="88" t="s">
        <v>288</v>
      </c>
      <c r="C47" s="90" t="s">
        <v>277</v>
      </c>
      <c r="D47" s="16" t="s">
        <v>69</v>
      </c>
      <c r="E47" s="11" t="s">
        <v>69</v>
      </c>
      <c r="F47" s="2" t="s">
        <v>69</v>
      </c>
      <c r="G47" s="12" t="s">
        <v>69</v>
      </c>
      <c r="H47" s="83" t="s">
        <v>279</v>
      </c>
      <c r="I47" s="12">
        <f t="shared" si="42"/>
        <v>0</v>
      </c>
      <c r="J47" s="92">
        <f t="shared" si="43"/>
        <v>0</v>
      </c>
      <c r="K47" s="93" t="s">
        <v>112</v>
      </c>
      <c r="L47" s="94">
        <f t="shared" si="44"/>
        <v>0</v>
      </c>
      <c r="M47" s="94">
        <f t="shared" si="45"/>
        <v>0</v>
      </c>
      <c r="N47" s="95">
        <f t="shared" si="46"/>
        <v>0</v>
      </c>
      <c r="O47" s="93">
        <f t="shared" si="65"/>
        <v>0</v>
      </c>
      <c r="P47" s="94">
        <f t="shared" si="66"/>
        <v>0</v>
      </c>
      <c r="Q47" s="94">
        <f t="shared" si="67"/>
        <v>0</v>
      </c>
      <c r="R47" s="94">
        <f t="shared" si="68"/>
        <v>0</v>
      </c>
      <c r="S47" s="94">
        <f t="shared" si="69"/>
        <v>0</v>
      </c>
      <c r="T47" s="94">
        <f t="shared" si="70"/>
        <v>0</v>
      </c>
      <c r="U47" s="94">
        <f t="shared" si="71"/>
        <v>0</v>
      </c>
      <c r="V47" s="94">
        <f t="shared" si="72"/>
        <v>0</v>
      </c>
      <c r="W47" s="95">
        <f t="shared" si="73"/>
        <v>0</v>
      </c>
      <c r="X47" s="10" t="s">
        <v>113</v>
      </c>
      <c r="Y47" s="1" t="s">
        <v>223</v>
      </c>
      <c r="Z47" s="1">
        <f t="shared" si="74"/>
        <v>0</v>
      </c>
      <c r="AA47" s="1">
        <f t="shared" si="75"/>
        <v>0</v>
      </c>
      <c r="AB47" s="1">
        <f t="shared" si="76"/>
        <v>0</v>
      </c>
      <c r="AC47" s="12">
        <f t="shared" si="47"/>
        <v>0</v>
      </c>
      <c r="AD47" s="1" t="s">
        <v>255</v>
      </c>
      <c r="AE47" s="2">
        <f t="shared" si="48"/>
        <v>0</v>
      </c>
      <c r="AF47" s="83" t="s">
        <v>280</v>
      </c>
      <c r="AG47" s="1">
        <f t="shared" si="49"/>
        <v>0</v>
      </c>
      <c r="AH47" s="1">
        <f t="shared" si="50"/>
        <v>0</v>
      </c>
      <c r="AI47" s="1">
        <f t="shared" si="51"/>
        <v>0</v>
      </c>
      <c r="AJ47" s="69">
        <f t="shared" si="52"/>
        <v>0</v>
      </c>
      <c r="AK47" s="83" t="s">
        <v>132</v>
      </c>
      <c r="AL47" s="1">
        <f t="shared" si="53"/>
        <v>0</v>
      </c>
      <c r="AM47" s="1">
        <f t="shared" si="54"/>
        <v>0</v>
      </c>
      <c r="AN47" s="1">
        <f t="shared" si="55"/>
        <v>0</v>
      </c>
      <c r="AO47" s="98">
        <f>Summary[[#This Row],[3*2]]+Summary[[#This Row],[3*22]]+Summary[[#This Row],[3*23]]</f>
        <v>0</v>
      </c>
      <c r="AP47" s="97">
        <f>Summary[[#This Row],[2*2]]+Summary[[#This Row],[2*23]]+Summary[[#This Row],[2*24]]</f>
        <v>0</v>
      </c>
      <c r="AQ47" s="97">
        <f>Summary[[#This Row],[1*2]]+Summary[[#This Row],[1*24]]+Summary[[#This Row],[1*25]]</f>
        <v>0</v>
      </c>
      <c r="AR47" s="97">
        <f t="shared" si="56"/>
        <v>0</v>
      </c>
      <c r="AS47" s="97">
        <f t="shared" si="57"/>
        <v>0</v>
      </c>
      <c r="AT47" s="97">
        <f t="shared" si="58"/>
        <v>0</v>
      </c>
      <c r="AU47" s="97">
        <f t="shared" si="59"/>
        <v>0</v>
      </c>
      <c r="AV47" s="97">
        <f t="shared" si="60"/>
        <v>0</v>
      </c>
      <c r="AW47" s="97">
        <f t="shared" si="61"/>
        <v>0</v>
      </c>
      <c r="AX47" s="97">
        <f t="shared" si="62"/>
        <v>0</v>
      </c>
      <c r="AY47" s="97">
        <f t="shared" si="63"/>
        <v>0</v>
      </c>
      <c r="AZ47" s="97">
        <f t="shared" si="64"/>
        <v>0</v>
      </c>
      <c r="BA47" s="83">
        <f>SUM(Summary[[#This Row],[3* (Tal)]],Summary[[#This Row],[3* (Asc)]])</f>
        <v>0</v>
      </c>
      <c r="BB47" s="1">
        <f>SUM(Summary[[#This Row],[2* (Tal)]],Summary[[#This Row],[2* (Asc)]])</f>
        <v>0</v>
      </c>
      <c r="BC47" s="69">
        <f>SUM(Summary[[#This Row],[1* (Tal)]],Summary[[#This Row],[1* (Asc)]])</f>
        <v>0</v>
      </c>
    </row>
    <row r="48" spans="1:55" x14ac:dyDescent="0.25">
      <c r="A48" s="86">
        <f>SUBTOTAL(3,$B$3:B48)</f>
        <v>46</v>
      </c>
      <c r="B48" s="88" t="s">
        <v>265</v>
      </c>
      <c r="C48" s="90" t="s">
        <v>252</v>
      </c>
      <c r="D48" s="16">
        <v>90</v>
      </c>
      <c r="E48" s="11">
        <v>1</v>
      </c>
      <c r="F48" s="2">
        <v>9</v>
      </c>
      <c r="G48" s="12">
        <v>9</v>
      </c>
      <c r="H48" s="83" t="s">
        <v>264</v>
      </c>
      <c r="I48" s="12">
        <f t="shared" si="42"/>
        <v>0</v>
      </c>
      <c r="J48" s="92">
        <f t="shared" si="43"/>
        <v>0</v>
      </c>
      <c r="K48" s="93" t="s">
        <v>103</v>
      </c>
      <c r="L48" s="94">
        <f t="shared" si="44"/>
        <v>22</v>
      </c>
      <c r="M48" s="94">
        <f t="shared" si="45"/>
        <v>21</v>
      </c>
      <c r="N48" s="95">
        <f t="shared" si="46"/>
        <v>3</v>
      </c>
      <c r="O48" s="93">
        <f t="shared" si="65"/>
        <v>22</v>
      </c>
      <c r="P48" s="94">
        <f t="shared" si="66"/>
        <v>21</v>
      </c>
      <c r="Q48" s="94">
        <f t="shared" si="67"/>
        <v>3</v>
      </c>
      <c r="R48" s="94">
        <f t="shared" si="68"/>
        <v>0</v>
      </c>
      <c r="S48" s="94">
        <f t="shared" si="69"/>
        <v>0</v>
      </c>
      <c r="T48" s="94">
        <f t="shared" si="70"/>
        <v>0</v>
      </c>
      <c r="U48" s="94">
        <f t="shared" si="71"/>
        <v>0</v>
      </c>
      <c r="V48" s="94">
        <f t="shared" si="72"/>
        <v>0</v>
      </c>
      <c r="W48" s="95">
        <f t="shared" si="73"/>
        <v>0</v>
      </c>
      <c r="X48" s="10" t="s">
        <v>142</v>
      </c>
      <c r="Y48" s="1" t="s">
        <v>186</v>
      </c>
      <c r="Z48" s="1">
        <f t="shared" si="74"/>
        <v>4</v>
      </c>
      <c r="AA48" s="1">
        <f t="shared" si="75"/>
        <v>0</v>
      </c>
      <c r="AB48" s="1">
        <f t="shared" si="76"/>
        <v>0</v>
      </c>
      <c r="AC48" s="12">
        <f t="shared" si="47"/>
        <v>4</v>
      </c>
      <c r="AD48" s="1" t="s">
        <v>243</v>
      </c>
      <c r="AE48" s="2">
        <f t="shared" si="48"/>
        <v>0</v>
      </c>
      <c r="AF48" s="83" t="s">
        <v>256</v>
      </c>
      <c r="AG48" s="1">
        <f t="shared" si="49"/>
        <v>0</v>
      </c>
      <c r="AH48" s="1">
        <f t="shared" si="50"/>
        <v>0</v>
      </c>
      <c r="AI48" s="1">
        <f t="shared" si="51"/>
        <v>0</v>
      </c>
      <c r="AJ48" s="69">
        <f t="shared" si="52"/>
        <v>0</v>
      </c>
      <c r="AK48" s="83" t="s">
        <v>145</v>
      </c>
      <c r="AL48" s="1">
        <f t="shared" si="53"/>
        <v>0</v>
      </c>
      <c r="AM48" s="1">
        <f t="shared" si="54"/>
        <v>0</v>
      </c>
      <c r="AN48" s="1">
        <f t="shared" si="55"/>
        <v>0</v>
      </c>
      <c r="AO48" s="98">
        <f>Summary[[#This Row],[3*2]]+Summary[[#This Row],[3*22]]+Summary[[#This Row],[3*23]]</f>
        <v>19</v>
      </c>
      <c r="AP48" s="97">
        <f>Summary[[#This Row],[2*2]]+Summary[[#This Row],[2*23]]+Summary[[#This Row],[2*24]]</f>
        <v>22</v>
      </c>
      <c r="AQ48" s="97">
        <f>Summary[[#This Row],[1*2]]+Summary[[#This Row],[1*24]]+Summary[[#This Row],[1*25]]</f>
        <v>6</v>
      </c>
      <c r="AR48" s="97">
        <f t="shared" si="56"/>
        <v>19</v>
      </c>
      <c r="AS48" s="97">
        <f t="shared" si="57"/>
        <v>22</v>
      </c>
      <c r="AT48" s="97">
        <f t="shared" si="58"/>
        <v>6</v>
      </c>
      <c r="AU48" s="97">
        <f t="shared" si="59"/>
        <v>0</v>
      </c>
      <c r="AV48" s="97">
        <f t="shared" si="60"/>
        <v>0</v>
      </c>
      <c r="AW48" s="97">
        <f t="shared" si="61"/>
        <v>0</v>
      </c>
      <c r="AX48" s="97">
        <f t="shared" si="62"/>
        <v>0</v>
      </c>
      <c r="AY48" s="97">
        <f t="shared" si="63"/>
        <v>0</v>
      </c>
      <c r="AZ48" s="97">
        <f t="shared" si="64"/>
        <v>0</v>
      </c>
      <c r="BA48" s="83">
        <f>SUM(Summary[[#This Row],[3* (Tal)]],Summary[[#This Row],[3* (Asc)]])</f>
        <v>19</v>
      </c>
      <c r="BB48" s="1">
        <f>SUM(Summary[[#This Row],[2* (Tal)]],Summary[[#This Row],[2* (Asc)]])</f>
        <v>22</v>
      </c>
      <c r="BC48" s="69">
        <f>SUM(Summary[[#This Row],[1* (Tal)]],Summary[[#This Row],[1* (Asc)]])</f>
        <v>6</v>
      </c>
    </row>
    <row r="49" spans="1:55" x14ac:dyDescent="0.25">
      <c r="A49" s="86">
        <f>SUBTOTAL(3,$B$3:B49)</f>
        <v>47</v>
      </c>
      <c r="B49" s="88" t="s">
        <v>224</v>
      </c>
      <c r="C49" s="90" t="s">
        <v>212</v>
      </c>
      <c r="D49" s="16">
        <v>20</v>
      </c>
      <c r="E49" s="11">
        <v>1</v>
      </c>
      <c r="F49" s="2">
        <v>1</v>
      </c>
      <c r="G49" s="12">
        <v>1</v>
      </c>
      <c r="H49" s="83" t="s">
        <v>225</v>
      </c>
      <c r="I49" s="12">
        <f t="shared" si="42"/>
        <v>46</v>
      </c>
      <c r="J49" s="92">
        <f t="shared" si="43"/>
        <v>413</v>
      </c>
      <c r="K49" s="93" t="s">
        <v>169</v>
      </c>
      <c r="L49" s="94">
        <f t="shared" si="44"/>
        <v>66</v>
      </c>
      <c r="M49" s="94">
        <f t="shared" si="45"/>
        <v>63</v>
      </c>
      <c r="N49" s="95">
        <f t="shared" si="46"/>
        <v>9</v>
      </c>
      <c r="O49" s="93">
        <f t="shared" si="65"/>
        <v>22</v>
      </c>
      <c r="P49" s="94">
        <f t="shared" si="66"/>
        <v>21</v>
      </c>
      <c r="Q49" s="94">
        <f t="shared" si="67"/>
        <v>3</v>
      </c>
      <c r="R49" s="94">
        <f t="shared" si="68"/>
        <v>22</v>
      </c>
      <c r="S49" s="94">
        <f t="shared" si="69"/>
        <v>21</v>
      </c>
      <c r="T49" s="94">
        <f t="shared" si="70"/>
        <v>3</v>
      </c>
      <c r="U49" s="94">
        <f t="shared" si="71"/>
        <v>22</v>
      </c>
      <c r="V49" s="94">
        <f t="shared" si="72"/>
        <v>21</v>
      </c>
      <c r="W49" s="95">
        <f t="shared" si="73"/>
        <v>3</v>
      </c>
      <c r="X49" s="10" t="s">
        <v>142</v>
      </c>
      <c r="Y49" s="1" t="s">
        <v>226</v>
      </c>
      <c r="Z49" s="1">
        <f t="shared" si="74"/>
        <v>4</v>
      </c>
      <c r="AA49" s="1">
        <f t="shared" si="75"/>
        <v>4</v>
      </c>
      <c r="AB49" s="1">
        <f t="shared" si="76"/>
        <v>4</v>
      </c>
      <c r="AC49" s="12">
        <f t="shared" si="47"/>
        <v>12</v>
      </c>
      <c r="AD49" s="1" t="s">
        <v>227</v>
      </c>
      <c r="AE49" s="2">
        <f t="shared" si="48"/>
        <v>168</v>
      </c>
      <c r="AF49" s="83" t="s">
        <v>217</v>
      </c>
      <c r="AG49" s="1">
        <f t="shared" si="49"/>
        <v>6</v>
      </c>
      <c r="AH49" s="1">
        <f t="shared" si="50"/>
        <v>9</v>
      </c>
      <c r="AI49" s="1">
        <f t="shared" si="51"/>
        <v>9</v>
      </c>
      <c r="AJ49" s="69">
        <f t="shared" si="52"/>
        <v>1</v>
      </c>
      <c r="AK49" s="83" t="s">
        <v>74</v>
      </c>
      <c r="AL49" s="1">
        <f t="shared" si="53"/>
        <v>36</v>
      </c>
      <c r="AM49" s="1">
        <f t="shared" si="54"/>
        <v>30</v>
      </c>
      <c r="AN49" s="1">
        <f t="shared" si="55"/>
        <v>18</v>
      </c>
      <c r="AO49" s="98">
        <f>Summary[[#This Row],[3*2]]+Summary[[#This Row],[3*22]]+Summary[[#This Row],[3*23]]</f>
        <v>57</v>
      </c>
      <c r="AP49" s="97">
        <f>Summary[[#This Row],[2*2]]+Summary[[#This Row],[2*23]]+Summary[[#This Row],[2*24]]</f>
        <v>66</v>
      </c>
      <c r="AQ49" s="97">
        <f>Summary[[#This Row],[1*2]]+Summary[[#This Row],[1*24]]+Summary[[#This Row],[1*25]]</f>
        <v>18</v>
      </c>
      <c r="AR49" s="97">
        <f t="shared" si="56"/>
        <v>19</v>
      </c>
      <c r="AS49" s="97">
        <f t="shared" si="57"/>
        <v>22</v>
      </c>
      <c r="AT49" s="97">
        <f t="shared" si="58"/>
        <v>6</v>
      </c>
      <c r="AU49" s="97">
        <f t="shared" si="59"/>
        <v>19</v>
      </c>
      <c r="AV49" s="97">
        <f t="shared" si="60"/>
        <v>22</v>
      </c>
      <c r="AW49" s="97">
        <f t="shared" si="61"/>
        <v>6</v>
      </c>
      <c r="AX49" s="97">
        <f t="shared" si="62"/>
        <v>19</v>
      </c>
      <c r="AY49" s="97">
        <f t="shared" si="63"/>
        <v>22</v>
      </c>
      <c r="AZ49" s="97">
        <f t="shared" si="64"/>
        <v>6</v>
      </c>
      <c r="BA49" s="83">
        <f>SUM(Summary[[#This Row],[3* (Tal)]],Summary[[#This Row],[3* (Asc)]])</f>
        <v>93</v>
      </c>
      <c r="BB49" s="1">
        <f>SUM(Summary[[#This Row],[2* (Tal)]],Summary[[#This Row],[2* (Asc)]])</f>
        <v>96</v>
      </c>
      <c r="BC49" s="69">
        <f>SUM(Summary[[#This Row],[1* (Tal)]],Summary[[#This Row],[1* (Asc)]])</f>
        <v>36</v>
      </c>
    </row>
    <row r="50" spans="1:55" x14ac:dyDescent="0.25">
      <c r="A50" s="86">
        <f>SUBTOTAL(3,$B$3:B50)</f>
        <v>48</v>
      </c>
      <c r="B50" s="88" t="s">
        <v>228</v>
      </c>
      <c r="C50" s="90" t="s">
        <v>212</v>
      </c>
      <c r="D50" s="16">
        <v>90</v>
      </c>
      <c r="E50" s="11">
        <v>1</v>
      </c>
      <c r="F50" s="2">
        <v>9</v>
      </c>
      <c r="G50" s="12">
        <v>6</v>
      </c>
      <c r="H50" s="83" t="s">
        <v>102</v>
      </c>
      <c r="I50" s="12">
        <f t="shared" si="42"/>
        <v>0</v>
      </c>
      <c r="J50" s="92">
        <f t="shared" si="43"/>
        <v>0</v>
      </c>
      <c r="K50" s="93" t="s">
        <v>169</v>
      </c>
      <c r="L50" s="94">
        <f t="shared" si="44"/>
        <v>44</v>
      </c>
      <c r="M50" s="94">
        <f t="shared" si="45"/>
        <v>21</v>
      </c>
      <c r="N50" s="95">
        <f t="shared" si="46"/>
        <v>3</v>
      </c>
      <c r="O50" s="93">
        <f t="shared" si="65"/>
        <v>22</v>
      </c>
      <c r="P50" s="94">
        <f t="shared" si="66"/>
        <v>21</v>
      </c>
      <c r="Q50" s="94">
        <f t="shared" si="67"/>
        <v>3</v>
      </c>
      <c r="R50" s="94">
        <f t="shared" si="68"/>
        <v>0</v>
      </c>
      <c r="S50" s="94">
        <f t="shared" si="69"/>
        <v>0</v>
      </c>
      <c r="T50" s="94">
        <f t="shared" si="70"/>
        <v>0</v>
      </c>
      <c r="U50" s="94">
        <f t="shared" si="71"/>
        <v>22</v>
      </c>
      <c r="V50" s="94">
        <f t="shared" si="72"/>
        <v>0</v>
      </c>
      <c r="W50" s="95">
        <f t="shared" si="73"/>
        <v>0</v>
      </c>
      <c r="X50" s="10" t="s">
        <v>104</v>
      </c>
      <c r="Y50" s="1" t="s">
        <v>200</v>
      </c>
      <c r="Z50" s="1">
        <f t="shared" si="74"/>
        <v>4</v>
      </c>
      <c r="AA50" s="1">
        <f t="shared" si="75"/>
        <v>0</v>
      </c>
      <c r="AB50" s="1">
        <f t="shared" si="76"/>
        <v>4</v>
      </c>
      <c r="AC50" s="12">
        <f t="shared" si="47"/>
        <v>8</v>
      </c>
      <c r="AD50" s="1" t="s">
        <v>229</v>
      </c>
      <c r="AE50" s="2">
        <f t="shared" si="48"/>
        <v>0</v>
      </c>
      <c r="AF50" s="83" t="s">
        <v>217</v>
      </c>
      <c r="AG50" s="1">
        <f t="shared" si="49"/>
        <v>0</v>
      </c>
      <c r="AH50" s="1">
        <f t="shared" si="50"/>
        <v>0</v>
      </c>
      <c r="AI50" s="1">
        <f t="shared" si="51"/>
        <v>0</v>
      </c>
      <c r="AJ50" s="69">
        <f t="shared" si="52"/>
        <v>0</v>
      </c>
      <c r="AK50" s="83" t="s">
        <v>145</v>
      </c>
      <c r="AL50" s="1">
        <f t="shared" si="53"/>
        <v>0</v>
      </c>
      <c r="AM50" s="1">
        <f t="shared" si="54"/>
        <v>0</v>
      </c>
      <c r="AN50" s="1">
        <f t="shared" si="55"/>
        <v>0</v>
      </c>
      <c r="AO50" s="98">
        <f>Summary[[#This Row],[3*2]]+Summary[[#This Row],[3*22]]+Summary[[#This Row],[3*23]]</f>
        <v>38</v>
      </c>
      <c r="AP50" s="97">
        <f>Summary[[#This Row],[2*2]]+Summary[[#This Row],[2*23]]+Summary[[#This Row],[2*24]]</f>
        <v>22</v>
      </c>
      <c r="AQ50" s="97">
        <f>Summary[[#This Row],[1*2]]+Summary[[#This Row],[1*24]]+Summary[[#This Row],[1*25]]</f>
        <v>6</v>
      </c>
      <c r="AR50" s="97">
        <f t="shared" si="56"/>
        <v>19</v>
      </c>
      <c r="AS50" s="97">
        <f t="shared" si="57"/>
        <v>22</v>
      </c>
      <c r="AT50" s="97">
        <f t="shared" si="58"/>
        <v>6</v>
      </c>
      <c r="AU50" s="97">
        <f t="shared" si="59"/>
        <v>0</v>
      </c>
      <c r="AV50" s="97">
        <f t="shared" si="60"/>
        <v>0</v>
      </c>
      <c r="AW50" s="97">
        <f t="shared" si="61"/>
        <v>0</v>
      </c>
      <c r="AX50" s="97">
        <f t="shared" si="62"/>
        <v>19</v>
      </c>
      <c r="AY50" s="97">
        <f t="shared" si="63"/>
        <v>0</v>
      </c>
      <c r="AZ50" s="97">
        <f t="shared" si="64"/>
        <v>0</v>
      </c>
      <c r="BA50" s="83">
        <f>SUM(Summary[[#This Row],[3* (Tal)]],Summary[[#This Row],[3* (Asc)]])</f>
        <v>38</v>
      </c>
      <c r="BB50" s="1">
        <f>SUM(Summary[[#This Row],[2* (Tal)]],Summary[[#This Row],[2* (Asc)]])</f>
        <v>22</v>
      </c>
      <c r="BC50" s="69">
        <f>SUM(Summary[[#This Row],[1* (Tal)]],Summary[[#This Row],[1* (Asc)]])</f>
        <v>6</v>
      </c>
    </row>
    <row r="51" spans="1:55" x14ac:dyDescent="0.25">
      <c r="A51" s="86">
        <f>SUBTOTAL(3,$B$3:B51)</f>
        <v>49</v>
      </c>
      <c r="B51" s="88" t="s">
        <v>172</v>
      </c>
      <c r="C51" s="90" t="s">
        <v>139</v>
      </c>
      <c r="D51" s="16">
        <v>90</v>
      </c>
      <c r="E51" s="11">
        <v>1</v>
      </c>
      <c r="F51" s="2">
        <v>9</v>
      </c>
      <c r="G51" s="12">
        <v>7</v>
      </c>
      <c r="H51" s="83" t="s">
        <v>121</v>
      </c>
      <c r="I51" s="12">
        <f t="shared" si="42"/>
        <v>0</v>
      </c>
      <c r="J51" s="92">
        <f t="shared" si="43"/>
        <v>0</v>
      </c>
      <c r="K51" s="93" t="s">
        <v>173</v>
      </c>
      <c r="L51" s="94">
        <f t="shared" si="44"/>
        <v>40</v>
      </c>
      <c r="M51" s="94">
        <f t="shared" si="45"/>
        <v>21</v>
      </c>
      <c r="N51" s="95">
        <f t="shared" si="46"/>
        <v>3</v>
      </c>
      <c r="O51" s="93">
        <f t="shared" si="65"/>
        <v>22</v>
      </c>
      <c r="P51" s="94">
        <f t="shared" si="66"/>
        <v>21</v>
      </c>
      <c r="Q51" s="94">
        <f t="shared" si="67"/>
        <v>3</v>
      </c>
      <c r="R51" s="94">
        <f t="shared" si="68"/>
        <v>0</v>
      </c>
      <c r="S51" s="94">
        <f t="shared" si="69"/>
        <v>0</v>
      </c>
      <c r="T51" s="94">
        <f t="shared" si="70"/>
        <v>0</v>
      </c>
      <c r="U51" s="94">
        <f t="shared" si="71"/>
        <v>18</v>
      </c>
      <c r="V51" s="94">
        <f t="shared" si="72"/>
        <v>0</v>
      </c>
      <c r="W51" s="95">
        <f t="shared" si="73"/>
        <v>0</v>
      </c>
      <c r="X51" s="10" t="s">
        <v>78</v>
      </c>
      <c r="Y51" s="1" t="s">
        <v>174</v>
      </c>
      <c r="Z51" s="1">
        <f t="shared" si="74"/>
        <v>4</v>
      </c>
      <c r="AA51" s="1">
        <f t="shared" si="75"/>
        <v>0</v>
      </c>
      <c r="AB51" s="1">
        <f t="shared" si="76"/>
        <v>3</v>
      </c>
      <c r="AC51" s="12">
        <f t="shared" si="47"/>
        <v>7</v>
      </c>
      <c r="AD51" s="1" t="s">
        <v>175</v>
      </c>
      <c r="AE51" s="2">
        <f t="shared" si="48"/>
        <v>0</v>
      </c>
      <c r="AF51" s="83" t="s">
        <v>144</v>
      </c>
      <c r="AG51" s="1">
        <f t="shared" si="49"/>
        <v>0</v>
      </c>
      <c r="AH51" s="1">
        <f t="shared" si="50"/>
        <v>0</v>
      </c>
      <c r="AI51" s="1">
        <f t="shared" si="51"/>
        <v>0</v>
      </c>
      <c r="AJ51" s="69">
        <f t="shared" si="52"/>
        <v>0</v>
      </c>
      <c r="AK51" s="83" t="s">
        <v>132</v>
      </c>
      <c r="AL51" s="1">
        <f t="shared" si="53"/>
        <v>0</v>
      </c>
      <c r="AM51" s="1">
        <f t="shared" si="54"/>
        <v>0</v>
      </c>
      <c r="AN51" s="1">
        <f t="shared" si="55"/>
        <v>0</v>
      </c>
      <c r="AO51" s="98">
        <f>Summary[[#This Row],[3*2]]+Summary[[#This Row],[3*22]]+Summary[[#This Row],[3*23]]</f>
        <v>37</v>
      </c>
      <c r="AP51" s="97">
        <f>Summary[[#This Row],[2*2]]+Summary[[#This Row],[2*23]]+Summary[[#This Row],[2*24]]</f>
        <v>22</v>
      </c>
      <c r="AQ51" s="97">
        <f>Summary[[#This Row],[1*2]]+Summary[[#This Row],[1*24]]+Summary[[#This Row],[1*25]]</f>
        <v>6</v>
      </c>
      <c r="AR51" s="97">
        <f t="shared" si="56"/>
        <v>19</v>
      </c>
      <c r="AS51" s="97">
        <f t="shared" si="57"/>
        <v>22</v>
      </c>
      <c r="AT51" s="97">
        <f t="shared" si="58"/>
        <v>6</v>
      </c>
      <c r="AU51" s="97">
        <f t="shared" si="59"/>
        <v>0</v>
      </c>
      <c r="AV51" s="97">
        <f t="shared" si="60"/>
        <v>0</v>
      </c>
      <c r="AW51" s="97">
        <f t="shared" si="61"/>
        <v>0</v>
      </c>
      <c r="AX51" s="97">
        <f t="shared" si="62"/>
        <v>18</v>
      </c>
      <c r="AY51" s="97">
        <f t="shared" si="63"/>
        <v>0</v>
      </c>
      <c r="AZ51" s="97">
        <f t="shared" si="64"/>
        <v>0</v>
      </c>
      <c r="BA51" s="83">
        <f>SUM(Summary[[#This Row],[3* (Tal)]],Summary[[#This Row],[3* (Asc)]])</f>
        <v>37</v>
      </c>
      <c r="BB51" s="1">
        <f>SUM(Summary[[#This Row],[2* (Tal)]],Summary[[#This Row],[2* (Asc)]])</f>
        <v>22</v>
      </c>
      <c r="BC51" s="69">
        <f>SUM(Summary[[#This Row],[1* (Tal)]],Summary[[#This Row],[1* (Asc)]])</f>
        <v>6</v>
      </c>
    </row>
    <row r="52" spans="1:55" x14ac:dyDescent="0.25">
      <c r="A52" s="86">
        <f>SUBTOTAL(3,$B$3:B52)</f>
        <v>50</v>
      </c>
      <c r="B52" s="88" t="s">
        <v>230</v>
      </c>
      <c r="C52" s="90" t="s">
        <v>212</v>
      </c>
      <c r="D52" s="16">
        <v>61</v>
      </c>
      <c r="E52" s="11">
        <v>1</v>
      </c>
      <c r="F52" s="2">
        <v>1</v>
      </c>
      <c r="G52" s="12">
        <v>1</v>
      </c>
      <c r="H52" s="83" t="s">
        <v>215</v>
      </c>
      <c r="I52" s="12">
        <f t="shared" si="42"/>
        <v>32</v>
      </c>
      <c r="J52" s="92">
        <f t="shared" si="43"/>
        <v>252</v>
      </c>
      <c r="K52" s="93" t="s">
        <v>116</v>
      </c>
      <c r="L52" s="94">
        <f t="shared" si="44"/>
        <v>66</v>
      </c>
      <c r="M52" s="94">
        <f t="shared" si="45"/>
        <v>63</v>
      </c>
      <c r="N52" s="95">
        <f t="shared" si="46"/>
        <v>9</v>
      </c>
      <c r="O52" s="93">
        <f t="shared" si="65"/>
        <v>22</v>
      </c>
      <c r="P52" s="94">
        <f t="shared" si="66"/>
        <v>21</v>
      </c>
      <c r="Q52" s="94">
        <f t="shared" si="67"/>
        <v>3</v>
      </c>
      <c r="R52" s="94">
        <f t="shared" si="68"/>
        <v>22</v>
      </c>
      <c r="S52" s="94">
        <f t="shared" si="69"/>
        <v>21</v>
      </c>
      <c r="T52" s="94">
        <f t="shared" si="70"/>
        <v>3</v>
      </c>
      <c r="U52" s="94">
        <f t="shared" si="71"/>
        <v>22</v>
      </c>
      <c r="V52" s="94">
        <f t="shared" si="72"/>
        <v>21</v>
      </c>
      <c r="W52" s="95">
        <f t="shared" si="73"/>
        <v>3</v>
      </c>
      <c r="X52" s="10" t="s">
        <v>70</v>
      </c>
      <c r="Y52" s="1" t="s">
        <v>231</v>
      </c>
      <c r="Z52" s="1">
        <f t="shared" si="74"/>
        <v>4</v>
      </c>
      <c r="AA52" s="1">
        <f t="shared" si="75"/>
        <v>4</v>
      </c>
      <c r="AB52" s="1">
        <f t="shared" si="76"/>
        <v>4</v>
      </c>
      <c r="AC52" s="12">
        <f t="shared" si="47"/>
        <v>12</v>
      </c>
      <c r="AD52" s="1" t="s">
        <v>183</v>
      </c>
      <c r="AE52" s="2">
        <f t="shared" si="48"/>
        <v>105</v>
      </c>
      <c r="AF52" s="83" t="s">
        <v>217</v>
      </c>
      <c r="AG52" s="1">
        <f t="shared" si="49"/>
        <v>6</v>
      </c>
      <c r="AH52" s="1">
        <f t="shared" si="50"/>
        <v>6</v>
      </c>
      <c r="AI52" s="1">
        <f t="shared" si="51"/>
        <v>0</v>
      </c>
      <c r="AJ52" s="69">
        <f t="shared" si="52"/>
        <v>0</v>
      </c>
      <c r="AK52" s="83" t="s">
        <v>119</v>
      </c>
      <c r="AL52" s="1">
        <f t="shared" si="53"/>
        <v>36</v>
      </c>
      <c r="AM52" s="1">
        <f t="shared" si="54"/>
        <v>0</v>
      </c>
      <c r="AN52" s="1">
        <f t="shared" si="55"/>
        <v>0</v>
      </c>
      <c r="AO52" s="98">
        <f>Summary[[#This Row],[3*2]]+Summary[[#This Row],[3*22]]+Summary[[#This Row],[3*23]]</f>
        <v>57</v>
      </c>
      <c r="AP52" s="97">
        <f>Summary[[#This Row],[2*2]]+Summary[[#This Row],[2*23]]+Summary[[#This Row],[2*24]]</f>
        <v>66</v>
      </c>
      <c r="AQ52" s="97">
        <f>Summary[[#This Row],[1*2]]+Summary[[#This Row],[1*24]]+Summary[[#This Row],[1*25]]</f>
        <v>18</v>
      </c>
      <c r="AR52" s="97">
        <f t="shared" si="56"/>
        <v>19</v>
      </c>
      <c r="AS52" s="97">
        <f t="shared" si="57"/>
        <v>22</v>
      </c>
      <c r="AT52" s="97">
        <f t="shared" si="58"/>
        <v>6</v>
      </c>
      <c r="AU52" s="97">
        <f t="shared" si="59"/>
        <v>19</v>
      </c>
      <c r="AV52" s="97">
        <f t="shared" si="60"/>
        <v>22</v>
      </c>
      <c r="AW52" s="97">
        <f t="shared" si="61"/>
        <v>6</v>
      </c>
      <c r="AX52" s="97">
        <f t="shared" si="62"/>
        <v>19</v>
      </c>
      <c r="AY52" s="97">
        <f t="shared" si="63"/>
        <v>22</v>
      </c>
      <c r="AZ52" s="97">
        <f t="shared" si="64"/>
        <v>6</v>
      </c>
      <c r="BA52" s="83">
        <f>SUM(Summary[[#This Row],[3* (Tal)]],Summary[[#This Row],[3* (Asc)]])</f>
        <v>93</v>
      </c>
      <c r="BB52" s="1">
        <f>SUM(Summary[[#This Row],[2* (Tal)]],Summary[[#This Row],[2* (Asc)]])</f>
        <v>66</v>
      </c>
      <c r="BC52" s="69">
        <f>SUM(Summary[[#This Row],[1* (Tal)]],Summary[[#This Row],[1* (Asc)]])</f>
        <v>18</v>
      </c>
    </row>
    <row r="53" spans="1:55" x14ac:dyDescent="0.25">
      <c r="A53" s="86">
        <f>SUBTOTAL(3,$B$3:B53)</f>
        <v>51</v>
      </c>
      <c r="B53" s="88" t="s">
        <v>94</v>
      </c>
      <c r="C53" s="90" t="s">
        <v>67</v>
      </c>
      <c r="D53" s="16">
        <v>21</v>
      </c>
      <c r="E53" s="11">
        <v>1</v>
      </c>
      <c r="F53" s="2">
        <v>1</v>
      </c>
      <c r="G53" s="12">
        <v>1</v>
      </c>
      <c r="H53" s="83" t="s">
        <v>95</v>
      </c>
      <c r="I53" s="12">
        <f t="shared" si="42"/>
        <v>46</v>
      </c>
      <c r="J53" s="92">
        <f t="shared" si="43"/>
        <v>402</v>
      </c>
      <c r="K53" s="93" t="s">
        <v>96</v>
      </c>
      <c r="L53" s="94">
        <f t="shared" si="44"/>
        <v>66</v>
      </c>
      <c r="M53" s="94">
        <f t="shared" si="45"/>
        <v>63</v>
      </c>
      <c r="N53" s="95">
        <f t="shared" si="46"/>
        <v>9</v>
      </c>
      <c r="O53" s="93">
        <f t="shared" si="65"/>
        <v>22</v>
      </c>
      <c r="P53" s="94">
        <f t="shared" si="66"/>
        <v>21</v>
      </c>
      <c r="Q53" s="94">
        <f t="shared" si="67"/>
        <v>3</v>
      </c>
      <c r="R53" s="94">
        <f t="shared" si="68"/>
        <v>22</v>
      </c>
      <c r="S53" s="94">
        <f t="shared" si="69"/>
        <v>21</v>
      </c>
      <c r="T53" s="94">
        <f t="shared" si="70"/>
        <v>3</v>
      </c>
      <c r="U53" s="94">
        <f t="shared" si="71"/>
        <v>22</v>
      </c>
      <c r="V53" s="94">
        <f t="shared" si="72"/>
        <v>21</v>
      </c>
      <c r="W53" s="95">
        <f t="shared" si="73"/>
        <v>3</v>
      </c>
      <c r="X53" s="10" t="s">
        <v>97</v>
      </c>
      <c r="Y53" s="1" t="s">
        <v>98</v>
      </c>
      <c r="Z53" s="1">
        <f t="shared" si="74"/>
        <v>4</v>
      </c>
      <c r="AA53" s="1">
        <f t="shared" si="75"/>
        <v>4</v>
      </c>
      <c r="AB53" s="1">
        <f t="shared" si="76"/>
        <v>4</v>
      </c>
      <c r="AC53" s="12">
        <f t="shared" si="47"/>
        <v>12</v>
      </c>
      <c r="AD53" s="1" t="s">
        <v>99</v>
      </c>
      <c r="AE53" s="2">
        <f t="shared" si="48"/>
        <v>165</v>
      </c>
      <c r="AF53" s="83" t="s">
        <v>80</v>
      </c>
      <c r="AG53" s="1">
        <f t="shared" si="49"/>
        <v>6</v>
      </c>
      <c r="AH53" s="1">
        <f t="shared" si="50"/>
        <v>9</v>
      </c>
      <c r="AI53" s="1">
        <f t="shared" si="51"/>
        <v>9</v>
      </c>
      <c r="AJ53" s="69">
        <f t="shared" si="52"/>
        <v>0</v>
      </c>
      <c r="AK53" s="83" t="s">
        <v>100</v>
      </c>
      <c r="AL53" s="1">
        <f t="shared" si="53"/>
        <v>36</v>
      </c>
      <c r="AM53" s="1">
        <f t="shared" si="54"/>
        <v>30</v>
      </c>
      <c r="AN53" s="1">
        <f t="shared" si="55"/>
        <v>15</v>
      </c>
      <c r="AO53" s="98">
        <f>Summary[[#This Row],[3*2]]+Summary[[#This Row],[3*22]]+Summary[[#This Row],[3*23]]</f>
        <v>57</v>
      </c>
      <c r="AP53" s="97">
        <f>Summary[[#This Row],[2*2]]+Summary[[#This Row],[2*23]]+Summary[[#This Row],[2*24]]</f>
        <v>66</v>
      </c>
      <c r="AQ53" s="97">
        <f>Summary[[#This Row],[1*2]]+Summary[[#This Row],[1*24]]+Summary[[#This Row],[1*25]]</f>
        <v>18</v>
      </c>
      <c r="AR53" s="97">
        <f t="shared" si="56"/>
        <v>19</v>
      </c>
      <c r="AS53" s="97">
        <f t="shared" si="57"/>
        <v>22</v>
      </c>
      <c r="AT53" s="97">
        <f t="shared" si="58"/>
        <v>6</v>
      </c>
      <c r="AU53" s="97">
        <f t="shared" si="59"/>
        <v>19</v>
      </c>
      <c r="AV53" s="97">
        <f t="shared" si="60"/>
        <v>22</v>
      </c>
      <c r="AW53" s="97">
        <f t="shared" si="61"/>
        <v>6</v>
      </c>
      <c r="AX53" s="97">
        <f t="shared" si="62"/>
        <v>19</v>
      </c>
      <c r="AY53" s="97">
        <f t="shared" si="63"/>
        <v>22</v>
      </c>
      <c r="AZ53" s="97">
        <f t="shared" si="64"/>
        <v>6</v>
      </c>
      <c r="BA53" s="83">
        <f>SUM(Summary[[#This Row],[3* (Tal)]],Summary[[#This Row],[3* (Asc)]])</f>
        <v>93</v>
      </c>
      <c r="BB53" s="1">
        <f>SUM(Summary[[#This Row],[2* (Tal)]],Summary[[#This Row],[2* (Asc)]])</f>
        <v>96</v>
      </c>
      <c r="BC53" s="69">
        <f>SUM(Summary[[#This Row],[1* (Tal)]],Summary[[#This Row],[1* (Asc)]])</f>
        <v>33</v>
      </c>
    </row>
    <row r="54" spans="1:55" x14ac:dyDescent="0.25">
      <c r="A54" s="86">
        <f>SUBTOTAL(3,$B$3:B54)</f>
        <v>52</v>
      </c>
      <c r="B54" s="88" t="s">
        <v>289</v>
      </c>
      <c r="C54" s="90" t="s">
        <v>277</v>
      </c>
      <c r="D54" s="16" t="s">
        <v>69</v>
      </c>
      <c r="E54" s="11" t="s">
        <v>69</v>
      </c>
      <c r="F54" s="2" t="s">
        <v>69</v>
      </c>
      <c r="G54" s="12" t="s">
        <v>69</v>
      </c>
      <c r="H54" s="83" t="s">
        <v>286</v>
      </c>
      <c r="I54" s="12">
        <f t="shared" si="42"/>
        <v>0</v>
      </c>
      <c r="J54" s="92">
        <f t="shared" si="43"/>
        <v>0</v>
      </c>
      <c r="K54" s="93" t="s">
        <v>245</v>
      </c>
      <c r="L54" s="94">
        <f t="shared" si="44"/>
        <v>0</v>
      </c>
      <c r="M54" s="94">
        <f t="shared" si="45"/>
        <v>0</v>
      </c>
      <c r="N54" s="95">
        <f t="shared" si="46"/>
        <v>0</v>
      </c>
      <c r="O54" s="93">
        <f t="shared" si="65"/>
        <v>0</v>
      </c>
      <c r="P54" s="94">
        <f t="shared" si="66"/>
        <v>0</v>
      </c>
      <c r="Q54" s="94">
        <f t="shared" si="67"/>
        <v>0</v>
      </c>
      <c r="R54" s="94">
        <f t="shared" si="68"/>
        <v>0</v>
      </c>
      <c r="S54" s="94">
        <f t="shared" si="69"/>
        <v>0</v>
      </c>
      <c r="T54" s="94">
        <f t="shared" si="70"/>
        <v>0</v>
      </c>
      <c r="U54" s="94">
        <f t="shared" si="71"/>
        <v>0</v>
      </c>
      <c r="V54" s="94">
        <f t="shared" si="72"/>
        <v>0</v>
      </c>
      <c r="W54" s="95">
        <f t="shared" si="73"/>
        <v>0</v>
      </c>
      <c r="X54" s="10" t="s">
        <v>97</v>
      </c>
      <c r="Y54" s="1" t="s">
        <v>188</v>
      </c>
      <c r="Z54" s="1">
        <f t="shared" si="74"/>
        <v>0</v>
      </c>
      <c r="AA54" s="1">
        <f t="shared" si="75"/>
        <v>0</v>
      </c>
      <c r="AB54" s="1">
        <f t="shared" si="76"/>
        <v>0</v>
      </c>
      <c r="AC54" s="12">
        <f t="shared" si="47"/>
        <v>0</v>
      </c>
      <c r="AD54" s="1" t="s">
        <v>290</v>
      </c>
      <c r="AE54" s="2">
        <f t="shared" si="48"/>
        <v>0</v>
      </c>
      <c r="AF54" s="83" t="s">
        <v>280</v>
      </c>
      <c r="AG54" s="1">
        <f t="shared" si="49"/>
        <v>0</v>
      </c>
      <c r="AH54" s="1">
        <f t="shared" si="50"/>
        <v>0</v>
      </c>
      <c r="AI54" s="1">
        <f t="shared" si="51"/>
        <v>0</v>
      </c>
      <c r="AJ54" s="69">
        <f t="shared" si="52"/>
        <v>0</v>
      </c>
      <c r="AK54" s="83" t="s">
        <v>179</v>
      </c>
      <c r="AL54" s="1">
        <f t="shared" si="53"/>
        <v>0</v>
      </c>
      <c r="AM54" s="1">
        <f t="shared" si="54"/>
        <v>0</v>
      </c>
      <c r="AN54" s="1">
        <f t="shared" si="55"/>
        <v>0</v>
      </c>
      <c r="AO54" s="98">
        <f>Summary[[#This Row],[3*2]]+Summary[[#This Row],[3*22]]+Summary[[#This Row],[3*23]]</f>
        <v>0</v>
      </c>
      <c r="AP54" s="97">
        <f>Summary[[#This Row],[2*2]]+Summary[[#This Row],[2*23]]+Summary[[#This Row],[2*24]]</f>
        <v>0</v>
      </c>
      <c r="AQ54" s="97">
        <f>Summary[[#This Row],[1*2]]+Summary[[#This Row],[1*24]]+Summary[[#This Row],[1*25]]</f>
        <v>0</v>
      </c>
      <c r="AR54" s="97">
        <f t="shared" si="56"/>
        <v>0</v>
      </c>
      <c r="AS54" s="97">
        <f t="shared" si="57"/>
        <v>0</v>
      </c>
      <c r="AT54" s="97">
        <f t="shared" si="58"/>
        <v>0</v>
      </c>
      <c r="AU54" s="97">
        <f t="shared" si="59"/>
        <v>0</v>
      </c>
      <c r="AV54" s="97">
        <f t="shared" si="60"/>
        <v>0</v>
      </c>
      <c r="AW54" s="97">
        <f t="shared" si="61"/>
        <v>0</v>
      </c>
      <c r="AX54" s="97">
        <f t="shared" si="62"/>
        <v>0</v>
      </c>
      <c r="AY54" s="97">
        <f t="shared" si="63"/>
        <v>0</v>
      </c>
      <c r="AZ54" s="97">
        <f t="shared" si="64"/>
        <v>0</v>
      </c>
      <c r="BA54" s="83">
        <f>SUM(Summary[[#This Row],[3* (Tal)]],Summary[[#This Row],[3* (Asc)]])</f>
        <v>0</v>
      </c>
      <c r="BB54" s="1">
        <f>SUM(Summary[[#This Row],[2* (Tal)]],Summary[[#This Row],[2* (Asc)]])</f>
        <v>0</v>
      </c>
      <c r="BC54" s="69">
        <f>SUM(Summary[[#This Row],[1* (Tal)]],Summary[[#This Row],[1* (Asc)]])</f>
        <v>0</v>
      </c>
    </row>
    <row r="55" spans="1:55" x14ac:dyDescent="0.25">
      <c r="A55" s="86">
        <f>SUBTOTAL(3,$B$3:B55)</f>
        <v>53</v>
      </c>
      <c r="B55" s="88" t="s">
        <v>176</v>
      </c>
      <c r="C55" s="90" t="s">
        <v>139</v>
      </c>
      <c r="D55" s="16">
        <v>60</v>
      </c>
      <c r="E55" s="11">
        <v>1</v>
      </c>
      <c r="F55" s="2">
        <v>1</v>
      </c>
      <c r="G55" s="12">
        <v>1</v>
      </c>
      <c r="H55" s="83" t="s">
        <v>177</v>
      </c>
      <c r="I55" s="12">
        <f t="shared" si="42"/>
        <v>40</v>
      </c>
      <c r="J55" s="92">
        <f t="shared" si="43"/>
        <v>312</v>
      </c>
      <c r="K55" s="93" t="s">
        <v>116</v>
      </c>
      <c r="L55" s="94">
        <f t="shared" si="44"/>
        <v>66</v>
      </c>
      <c r="M55" s="94">
        <f t="shared" si="45"/>
        <v>63</v>
      </c>
      <c r="N55" s="95">
        <f t="shared" si="46"/>
        <v>9</v>
      </c>
      <c r="O55" s="93">
        <f t="shared" si="65"/>
        <v>22</v>
      </c>
      <c r="P55" s="94">
        <f t="shared" si="66"/>
        <v>21</v>
      </c>
      <c r="Q55" s="94">
        <f t="shared" si="67"/>
        <v>3</v>
      </c>
      <c r="R55" s="94">
        <f t="shared" si="68"/>
        <v>22</v>
      </c>
      <c r="S55" s="94">
        <f t="shared" si="69"/>
        <v>21</v>
      </c>
      <c r="T55" s="94">
        <f t="shared" si="70"/>
        <v>3</v>
      </c>
      <c r="U55" s="94">
        <f t="shared" si="71"/>
        <v>22</v>
      </c>
      <c r="V55" s="94">
        <f t="shared" si="72"/>
        <v>21</v>
      </c>
      <c r="W55" s="95">
        <f t="shared" si="73"/>
        <v>3</v>
      </c>
      <c r="X55" s="10" t="s">
        <v>78</v>
      </c>
      <c r="Y55" s="1" t="s">
        <v>174</v>
      </c>
      <c r="Z55" s="1">
        <f t="shared" si="74"/>
        <v>4</v>
      </c>
      <c r="AA55" s="1">
        <f t="shared" si="75"/>
        <v>4</v>
      </c>
      <c r="AB55" s="1">
        <f t="shared" si="76"/>
        <v>4</v>
      </c>
      <c r="AC55" s="12">
        <f t="shared" si="47"/>
        <v>12</v>
      </c>
      <c r="AD55" s="1" t="s">
        <v>178</v>
      </c>
      <c r="AE55" s="2">
        <f t="shared" si="48"/>
        <v>135</v>
      </c>
      <c r="AF55" s="83" t="s">
        <v>144</v>
      </c>
      <c r="AG55" s="1">
        <f t="shared" si="49"/>
        <v>6</v>
      </c>
      <c r="AH55" s="1">
        <f t="shared" si="50"/>
        <v>9</v>
      </c>
      <c r="AI55" s="1">
        <f t="shared" si="51"/>
        <v>0</v>
      </c>
      <c r="AJ55" s="69">
        <f t="shared" si="52"/>
        <v>0</v>
      </c>
      <c r="AK55" s="83" t="s">
        <v>179</v>
      </c>
      <c r="AL55" s="1">
        <f t="shared" si="53"/>
        <v>36</v>
      </c>
      <c r="AM55" s="1">
        <f t="shared" si="54"/>
        <v>18</v>
      </c>
      <c r="AN55" s="1">
        <f t="shared" si="55"/>
        <v>0</v>
      </c>
      <c r="AO55" s="98">
        <f>Summary[[#This Row],[3*2]]+Summary[[#This Row],[3*22]]+Summary[[#This Row],[3*23]]</f>
        <v>57</v>
      </c>
      <c r="AP55" s="97">
        <f>Summary[[#This Row],[2*2]]+Summary[[#This Row],[2*23]]+Summary[[#This Row],[2*24]]</f>
        <v>66</v>
      </c>
      <c r="AQ55" s="97">
        <f>Summary[[#This Row],[1*2]]+Summary[[#This Row],[1*24]]+Summary[[#This Row],[1*25]]</f>
        <v>18</v>
      </c>
      <c r="AR55" s="97">
        <f t="shared" si="56"/>
        <v>19</v>
      </c>
      <c r="AS55" s="97">
        <f t="shared" si="57"/>
        <v>22</v>
      </c>
      <c r="AT55" s="97">
        <f t="shared" si="58"/>
        <v>6</v>
      </c>
      <c r="AU55" s="97">
        <f t="shared" si="59"/>
        <v>19</v>
      </c>
      <c r="AV55" s="97">
        <f t="shared" si="60"/>
        <v>22</v>
      </c>
      <c r="AW55" s="97">
        <f t="shared" si="61"/>
        <v>6</v>
      </c>
      <c r="AX55" s="97">
        <f t="shared" si="62"/>
        <v>19</v>
      </c>
      <c r="AY55" s="97">
        <f t="shared" si="63"/>
        <v>22</v>
      </c>
      <c r="AZ55" s="97">
        <f t="shared" si="64"/>
        <v>6</v>
      </c>
      <c r="BA55" s="83">
        <f>SUM(Summary[[#This Row],[3* (Tal)]],Summary[[#This Row],[3* (Asc)]])</f>
        <v>93</v>
      </c>
      <c r="BB55" s="1">
        <f>SUM(Summary[[#This Row],[2* (Tal)]],Summary[[#This Row],[2* (Asc)]])</f>
        <v>84</v>
      </c>
      <c r="BC55" s="69">
        <f>SUM(Summary[[#This Row],[1* (Tal)]],Summary[[#This Row],[1* (Asc)]])</f>
        <v>18</v>
      </c>
    </row>
    <row r="56" spans="1:55" x14ac:dyDescent="0.25">
      <c r="A56" s="86">
        <f>SUBTOTAL(3,$B$3:B56)</f>
        <v>54</v>
      </c>
      <c r="B56" s="88" t="s">
        <v>266</v>
      </c>
      <c r="C56" s="90" t="s">
        <v>252</v>
      </c>
      <c r="D56" s="16">
        <v>81</v>
      </c>
      <c r="E56" s="11">
        <v>1</v>
      </c>
      <c r="F56" s="2">
        <v>1</v>
      </c>
      <c r="G56" s="12">
        <v>10</v>
      </c>
      <c r="H56" s="83" t="s">
        <v>254</v>
      </c>
      <c r="I56" s="12">
        <f t="shared" si="42"/>
        <v>0</v>
      </c>
      <c r="J56" s="92">
        <f t="shared" si="43"/>
        <v>0</v>
      </c>
      <c r="K56" s="93" t="s">
        <v>84</v>
      </c>
      <c r="L56" s="94">
        <f t="shared" si="44"/>
        <v>44</v>
      </c>
      <c r="M56" s="94">
        <f t="shared" si="45"/>
        <v>42</v>
      </c>
      <c r="N56" s="95">
        <f t="shared" si="46"/>
        <v>6</v>
      </c>
      <c r="O56" s="93">
        <f t="shared" si="65"/>
        <v>22</v>
      </c>
      <c r="P56" s="94">
        <f t="shared" si="66"/>
        <v>21</v>
      </c>
      <c r="Q56" s="94">
        <f t="shared" si="67"/>
        <v>3</v>
      </c>
      <c r="R56" s="94">
        <f t="shared" si="68"/>
        <v>22</v>
      </c>
      <c r="S56" s="94">
        <f t="shared" si="69"/>
        <v>21</v>
      </c>
      <c r="T56" s="94">
        <f t="shared" si="70"/>
        <v>3</v>
      </c>
      <c r="U56" s="94">
        <f t="shared" si="71"/>
        <v>0</v>
      </c>
      <c r="V56" s="94">
        <f t="shared" si="72"/>
        <v>0</v>
      </c>
      <c r="W56" s="95">
        <f t="shared" si="73"/>
        <v>0</v>
      </c>
      <c r="X56" s="10" t="s">
        <v>113</v>
      </c>
      <c r="Y56" s="1" t="s">
        <v>223</v>
      </c>
      <c r="Z56" s="1">
        <f t="shared" si="74"/>
        <v>4</v>
      </c>
      <c r="AA56" s="1">
        <f t="shared" si="75"/>
        <v>4</v>
      </c>
      <c r="AB56" s="1">
        <f t="shared" si="76"/>
        <v>0</v>
      </c>
      <c r="AC56" s="12">
        <f t="shared" si="47"/>
        <v>8</v>
      </c>
      <c r="AD56" s="1" t="s">
        <v>255</v>
      </c>
      <c r="AE56" s="2">
        <f t="shared" si="48"/>
        <v>0</v>
      </c>
      <c r="AF56" s="83" t="s">
        <v>256</v>
      </c>
      <c r="AG56" s="1">
        <f t="shared" si="49"/>
        <v>0</v>
      </c>
      <c r="AH56" s="1">
        <f t="shared" si="50"/>
        <v>0</v>
      </c>
      <c r="AI56" s="1">
        <f t="shared" si="51"/>
        <v>0</v>
      </c>
      <c r="AJ56" s="69">
        <f t="shared" si="52"/>
        <v>0</v>
      </c>
      <c r="AK56" s="83" t="s">
        <v>110</v>
      </c>
      <c r="AL56" s="1">
        <f t="shared" si="53"/>
        <v>0</v>
      </c>
      <c r="AM56" s="1">
        <f t="shared" si="54"/>
        <v>0</v>
      </c>
      <c r="AN56" s="1">
        <f t="shared" si="55"/>
        <v>0</v>
      </c>
      <c r="AO56" s="98">
        <f>Summary[[#This Row],[3*2]]+Summary[[#This Row],[3*22]]+Summary[[#This Row],[3*23]]</f>
        <v>38</v>
      </c>
      <c r="AP56" s="97">
        <f>Summary[[#This Row],[2*2]]+Summary[[#This Row],[2*23]]+Summary[[#This Row],[2*24]]</f>
        <v>44</v>
      </c>
      <c r="AQ56" s="97">
        <f>Summary[[#This Row],[1*2]]+Summary[[#This Row],[1*24]]+Summary[[#This Row],[1*25]]</f>
        <v>12</v>
      </c>
      <c r="AR56" s="97">
        <f t="shared" si="56"/>
        <v>19</v>
      </c>
      <c r="AS56" s="97">
        <f t="shared" si="57"/>
        <v>22</v>
      </c>
      <c r="AT56" s="97">
        <f t="shared" si="58"/>
        <v>6</v>
      </c>
      <c r="AU56" s="97">
        <f t="shared" si="59"/>
        <v>19</v>
      </c>
      <c r="AV56" s="97">
        <f t="shared" si="60"/>
        <v>22</v>
      </c>
      <c r="AW56" s="97">
        <f t="shared" si="61"/>
        <v>6</v>
      </c>
      <c r="AX56" s="97">
        <f t="shared" si="62"/>
        <v>0</v>
      </c>
      <c r="AY56" s="97">
        <f t="shared" si="63"/>
        <v>0</v>
      </c>
      <c r="AZ56" s="97">
        <f t="shared" si="64"/>
        <v>0</v>
      </c>
      <c r="BA56" s="83">
        <f>SUM(Summary[[#This Row],[3* (Tal)]],Summary[[#This Row],[3* (Asc)]])</f>
        <v>38</v>
      </c>
      <c r="BB56" s="1">
        <f>SUM(Summary[[#This Row],[2* (Tal)]],Summary[[#This Row],[2* (Asc)]])</f>
        <v>44</v>
      </c>
      <c r="BC56" s="69">
        <f>SUM(Summary[[#This Row],[1* (Tal)]],Summary[[#This Row],[1* (Asc)]])</f>
        <v>12</v>
      </c>
    </row>
    <row r="57" spans="1:55" x14ac:dyDescent="0.25">
      <c r="A57" s="86">
        <f>SUBTOTAL(3,$B$3:B57)</f>
        <v>55</v>
      </c>
      <c r="B57" s="88" t="s">
        <v>206</v>
      </c>
      <c r="C57" s="90" t="s">
        <v>190</v>
      </c>
      <c r="D57" s="16">
        <v>90</v>
      </c>
      <c r="E57" s="11">
        <v>6</v>
      </c>
      <c r="F57" s="2">
        <v>10</v>
      </c>
      <c r="G57" s="12">
        <v>10</v>
      </c>
      <c r="H57" s="83" t="s">
        <v>202</v>
      </c>
      <c r="I57" s="12">
        <f t="shared" si="42"/>
        <v>0</v>
      </c>
      <c r="J57" s="92">
        <f t="shared" si="43"/>
        <v>0</v>
      </c>
      <c r="K57" s="93" t="s">
        <v>173</v>
      </c>
      <c r="L57" s="94">
        <f t="shared" si="44"/>
        <v>22</v>
      </c>
      <c r="M57" s="94">
        <f t="shared" si="45"/>
        <v>0</v>
      </c>
      <c r="N57" s="95">
        <f t="shared" si="46"/>
        <v>0</v>
      </c>
      <c r="O57" s="93">
        <f t="shared" si="65"/>
        <v>22</v>
      </c>
      <c r="P57" s="94">
        <f t="shared" si="66"/>
        <v>0</v>
      </c>
      <c r="Q57" s="94">
        <f t="shared" si="67"/>
        <v>0</v>
      </c>
      <c r="R57" s="94">
        <f t="shared" si="68"/>
        <v>0</v>
      </c>
      <c r="S57" s="94">
        <f t="shared" si="69"/>
        <v>0</v>
      </c>
      <c r="T57" s="94">
        <f t="shared" si="70"/>
        <v>0</v>
      </c>
      <c r="U57" s="94">
        <f t="shared" si="71"/>
        <v>0</v>
      </c>
      <c r="V57" s="94">
        <f t="shared" si="72"/>
        <v>0</v>
      </c>
      <c r="W57" s="95">
        <f t="shared" si="73"/>
        <v>0</v>
      </c>
      <c r="X57" s="10" t="s">
        <v>78</v>
      </c>
      <c r="Y57" s="1" t="s">
        <v>79</v>
      </c>
      <c r="Z57" s="1">
        <f t="shared" si="74"/>
        <v>4</v>
      </c>
      <c r="AA57" s="1">
        <f t="shared" si="75"/>
        <v>0</v>
      </c>
      <c r="AB57" s="1">
        <f t="shared" si="76"/>
        <v>0</v>
      </c>
      <c r="AC57" s="12">
        <f t="shared" si="47"/>
        <v>4</v>
      </c>
      <c r="AD57" s="1" t="s">
        <v>207</v>
      </c>
      <c r="AE57" s="2">
        <f t="shared" si="48"/>
        <v>0</v>
      </c>
      <c r="AF57" s="83" t="s">
        <v>194</v>
      </c>
      <c r="AG57" s="1">
        <f t="shared" si="49"/>
        <v>0</v>
      </c>
      <c r="AH57" s="1">
        <f t="shared" si="50"/>
        <v>0</v>
      </c>
      <c r="AI57" s="1">
        <f t="shared" si="51"/>
        <v>0</v>
      </c>
      <c r="AJ57" s="69">
        <f t="shared" si="52"/>
        <v>0</v>
      </c>
      <c r="AK57" s="83" t="s">
        <v>197</v>
      </c>
      <c r="AL57" s="1">
        <f t="shared" si="53"/>
        <v>0</v>
      </c>
      <c r="AM57" s="1">
        <f t="shared" si="54"/>
        <v>0</v>
      </c>
      <c r="AN57" s="1">
        <f t="shared" si="55"/>
        <v>0</v>
      </c>
      <c r="AO57" s="98">
        <f>Summary[[#This Row],[3*2]]+Summary[[#This Row],[3*22]]+Summary[[#This Row],[3*23]]</f>
        <v>19</v>
      </c>
      <c r="AP57" s="97">
        <f>Summary[[#This Row],[2*2]]+Summary[[#This Row],[2*23]]+Summary[[#This Row],[2*24]]</f>
        <v>0</v>
      </c>
      <c r="AQ57" s="97">
        <f>Summary[[#This Row],[1*2]]+Summary[[#This Row],[1*24]]+Summary[[#This Row],[1*25]]</f>
        <v>0</v>
      </c>
      <c r="AR57" s="97">
        <f t="shared" si="56"/>
        <v>19</v>
      </c>
      <c r="AS57" s="97">
        <f t="shared" si="57"/>
        <v>0</v>
      </c>
      <c r="AT57" s="97">
        <f t="shared" si="58"/>
        <v>0</v>
      </c>
      <c r="AU57" s="97">
        <f t="shared" si="59"/>
        <v>0</v>
      </c>
      <c r="AV57" s="97">
        <f t="shared" si="60"/>
        <v>0</v>
      </c>
      <c r="AW57" s="97">
        <f t="shared" si="61"/>
        <v>0</v>
      </c>
      <c r="AX57" s="97">
        <f t="shared" si="62"/>
        <v>0</v>
      </c>
      <c r="AY57" s="97">
        <f t="shared" si="63"/>
        <v>0</v>
      </c>
      <c r="AZ57" s="97">
        <f t="shared" si="64"/>
        <v>0</v>
      </c>
      <c r="BA57" s="83">
        <f>SUM(Summary[[#This Row],[3* (Tal)]],Summary[[#This Row],[3* (Asc)]])</f>
        <v>19</v>
      </c>
      <c r="BB57" s="1">
        <f>SUM(Summary[[#This Row],[2* (Tal)]],Summary[[#This Row],[2* (Asc)]])</f>
        <v>0</v>
      </c>
      <c r="BC57" s="69">
        <f>SUM(Summary[[#This Row],[1* (Tal)]],Summary[[#This Row],[1* (Asc)]])</f>
        <v>0</v>
      </c>
    </row>
    <row r="58" spans="1:55" x14ac:dyDescent="0.25">
      <c r="A58" s="86">
        <f>SUBTOTAL(3,$B$3:B58)</f>
        <v>56</v>
      </c>
      <c r="B58" s="88" t="s">
        <v>244</v>
      </c>
      <c r="C58" s="90" t="s">
        <v>235</v>
      </c>
      <c r="D58" s="16" t="s">
        <v>69</v>
      </c>
      <c r="E58" s="11" t="s">
        <v>69</v>
      </c>
      <c r="F58" s="2" t="s">
        <v>69</v>
      </c>
      <c r="G58" s="12" t="s">
        <v>69</v>
      </c>
      <c r="H58" s="83" t="s">
        <v>161</v>
      </c>
      <c r="I58" s="12">
        <f t="shared" si="42"/>
        <v>0</v>
      </c>
      <c r="J58" s="92">
        <f t="shared" si="43"/>
        <v>0</v>
      </c>
      <c r="K58" s="93" t="s">
        <v>245</v>
      </c>
      <c r="L58" s="94">
        <f t="shared" si="44"/>
        <v>0</v>
      </c>
      <c r="M58" s="94">
        <f t="shared" si="45"/>
        <v>0</v>
      </c>
      <c r="N58" s="95">
        <f t="shared" si="46"/>
        <v>0</v>
      </c>
      <c r="O58" s="93">
        <f t="shared" si="65"/>
        <v>0</v>
      </c>
      <c r="P58" s="94">
        <f t="shared" si="66"/>
        <v>0</v>
      </c>
      <c r="Q58" s="94">
        <f t="shared" si="67"/>
        <v>0</v>
      </c>
      <c r="R58" s="94">
        <f t="shared" si="68"/>
        <v>0</v>
      </c>
      <c r="S58" s="94">
        <f t="shared" si="69"/>
        <v>0</v>
      </c>
      <c r="T58" s="94">
        <f t="shared" si="70"/>
        <v>0</v>
      </c>
      <c r="U58" s="94">
        <f t="shared" si="71"/>
        <v>0</v>
      </c>
      <c r="V58" s="94">
        <f t="shared" si="72"/>
        <v>0</v>
      </c>
      <c r="W58" s="95">
        <f t="shared" si="73"/>
        <v>0</v>
      </c>
      <c r="X58" s="10" t="s">
        <v>129</v>
      </c>
      <c r="Y58" s="1" t="s">
        <v>149</v>
      </c>
      <c r="Z58" s="1">
        <f t="shared" si="74"/>
        <v>0</v>
      </c>
      <c r="AA58" s="1">
        <f t="shared" si="75"/>
        <v>0</v>
      </c>
      <c r="AB58" s="1">
        <f t="shared" si="76"/>
        <v>0</v>
      </c>
      <c r="AC58" s="12">
        <f t="shared" si="47"/>
        <v>0</v>
      </c>
      <c r="AD58" s="1" t="s">
        <v>246</v>
      </c>
      <c r="AE58" s="2">
        <f t="shared" si="48"/>
        <v>0</v>
      </c>
      <c r="AF58" s="83" t="s">
        <v>239</v>
      </c>
      <c r="AG58" s="1">
        <f t="shared" si="49"/>
        <v>0</v>
      </c>
      <c r="AH58" s="1">
        <f t="shared" si="50"/>
        <v>0</v>
      </c>
      <c r="AI58" s="1">
        <f t="shared" si="51"/>
        <v>0</v>
      </c>
      <c r="AJ58" s="69">
        <f t="shared" si="52"/>
        <v>0</v>
      </c>
      <c r="AK58" s="83" t="s">
        <v>164</v>
      </c>
      <c r="AL58" s="1">
        <f t="shared" si="53"/>
        <v>0</v>
      </c>
      <c r="AM58" s="1">
        <f t="shared" si="54"/>
        <v>0</v>
      </c>
      <c r="AN58" s="1">
        <f t="shared" si="55"/>
        <v>0</v>
      </c>
      <c r="AO58" s="98">
        <f>Summary[[#This Row],[3*2]]+Summary[[#This Row],[3*22]]+Summary[[#This Row],[3*23]]</f>
        <v>0</v>
      </c>
      <c r="AP58" s="97">
        <f>Summary[[#This Row],[2*2]]+Summary[[#This Row],[2*23]]+Summary[[#This Row],[2*24]]</f>
        <v>0</v>
      </c>
      <c r="AQ58" s="97">
        <f>Summary[[#This Row],[1*2]]+Summary[[#This Row],[1*24]]+Summary[[#This Row],[1*25]]</f>
        <v>0</v>
      </c>
      <c r="AR58" s="97">
        <f t="shared" si="56"/>
        <v>0</v>
      </c>
      <c r="AS58" s="97">
        <f t="shared" si="57"/>
        <v>0</v>
      </c>
      <c r="AT58" s="97">
        <f t="shared" si="58"/>
        <v>0</v>
      </c>
      <c r="AU58" s="97">
        <f t="shared" si="59"/>
        <v>0</v>
      </c>
      <c r="AV58" s="97">
        <f t="shared" si="60"/>
        <v>0</v>
      </c>
      <c r="AW58" s="97">
        <f t="shared" si="61"/>
        <v>0</v>
      </c>
      <c r="AX58" s="97">
        <f t="shared" si="62"/>
        <v>0</v>
      </c>
      <c r="AY58" s="97">
        <f t="shared" si="63"/>
        <v>0</v>
      </c>
      <c r="AZ58" s="97">
        <f t="shared" si="64"/>
        <v>0</v>
      </c>
      <c r="BA58" s="83">
        <f>SUM(Summary[[#This Row],[3* (Tal)]],Summary[[#This Row],[3* (Asc)]])</f>
        <v>0</v>
      </c>
      <c r="BB58" s="1">
        <f>SUM(Summary[[#This Row],[2* (Tal)]],Summary[[#This Row],[2* (Asc)]])</f>
        <v>0</v>
      </c>
      <c r="BC58" s="69">
        <f>SUM(Summary[[#This Row],[1* (Tal)]],Summary[[#This Row],[1* (Asc)]])</f>
        <v>0</v>
      </c>
    </row>
    <row r="59" spans="1:55" x14ac:dyDescent="0.25">
      <c r="A59" s="86">
        <f>SUBTOTAL(3,$B$3:B59)</f>
        <v>57</v>
      </c>
      <c r="B59" s="88" t="s">
        <v>267</v>
      </c>
      <c r="C59" s="90" t="s">
        <v>252</v>
      </c>
      <c r="D59" s="16">
        <v>90</v>
      </c>
      <c r="E59" s="11">
        <v>10</v>
      </c>
      <c r="F59" s="2">
        <v>10</v>
      </c>
      <c r="G59" s="12">
        <v>10</v>
      </c>
      <c r="H59" s="83" t="s">
        <v>268</v>
      </c>
      <c r="I59" s="12">
        <f t="shared" si="42"/>
        <v>0</v>
      </c>
      <c r="J59" s="92">
        <f t="shared" si="43"/>
        <v>0</v>
      </c>
      <c r="K59" s="93" t="s">
        <v>245</v>
      </c>
      <c r="L59" s="94">
        <f t="shared" si="44"/>
        <v>0</v>
      </c>
      <c r="M59" s="94">
        <f t="shared" si="45"/>
        <v>0</v>
      </c>
      <c r="N59" s="95">
        <f t="shared" si="46"/>
        <v>0</v>
      </c>
      <c r="O59" s="93">
        <f t="shared" si="65"/>
        <v>0</v>
      </c>
      <c r="P59" s="94">
        <f t="shared" si="66"/>
        <v>0</v>
      </c>
      <c r="Q59" s="94">
        <f t="shared" si="67"/>
        <v>0</v>
      </c>
      <c r="R59" s="94">
        <f t="shared" si="68"/>
        <v>0</v>
      </c>
      <c r="S59" s="94">
        <f t="shared" si="69"/>
        <v>0</v>
      </c>
      <c r="T59" s="94">
        <f t="shared" si="70"/>
        <v>0</v>
      </c>
      <c r="U59" s="94">
        <f t="shared" si="71"/>
        <v>0</v>
      </c>
      <c r="V59" s="94">
        <f t="shared" si="72"/>
        <v>0</v>
      </c>
      <c r="W59" s="95">
        <f t="shared" si="73"/>
        <v>0</v>
      </c>
      <c r="X59" s="10" t="s">
        <v>97</v>
      </c>
      <c r="Y59" s="1" t="s">
        <v>98</v>
      </c>
      <c r="Z59" s="1">
        <f t="shared" si="74"/>
        <v>0</v>
      </c>
      <c r="AA59" s="1">
        <f t="shared" si="75"/>
        <v>0</v>
      </c>
      <c r="AB59" s="1">
        <f t="shared" si="76"/>
        <v>0</v>
      </c>
      <c r="AC59" s="12">
        <f t="shared" si="47"/>
        <v>0</v>
      </c>
      <c r="AD59" s="1" t="s">
        <v>269</v>
      </c>
      <c r="AE59" s="2">
        <f t="shared" si="48"/>
        <v>0</v>
      </c>
      <c r="AF59" s="83" t="s">
        <v>256</v>
      </c>
      <c r="AG59" s="1">
        <f t="shared" si="49"/>
        <v>0</v>
      </c>
      <c r="AH59" s="1">
        <f t="shared" si="50"/>
        <v>0</v>
      </c>
      <c r="AI59" s="1">
        <f t="shared" si="51"/>
        <v>0</v>
      </c>
      <c r="AJ59" s="69">
        <f t="shared" si="52"/>
        <v>0</v>
      </c>
      <c r="AK59" s="83" t="s">
        <v>164</v>
      </c>
      <c r="AL59" s="1">
        <f t="shared" si="53"/>
        <v>0</v>
      </c>
      <c r="AM59" s="1">
        <f t="shared" si="54"/>
        <v>0</v>
      </c>
      <c r="AN59" s="1">
        <f t="shared" si="55"/>
        <v>0</v>
      </c>
      <c r="AO59" s="98">
        <f>Summary[[#This Row],[3*2]]+Summary[[#This Row],[3*22]]+Summary[[#This Row],[3*23]]</f>
        <v>0</v>
      </c>
      <c r="AP59" s="97">
        <f>Summary[[#This Row],[2*2]]+Summary[[#This Row],[2*23]]+Summary[[#This Row],[2*24]]</f>
        <v>0</v>
      </c>
      <c r="AQ59" s="97">
        <f>Summary[[#This Row],[1*2]]+Summary[[#This Row],[1*24]]+Summary[[#This Row],[1*25]]</f>
        <v>0</v>
      </c>
      <c r="AR59" s="97">
        <f t="shared" si="56"/>
        <v>0</v>
      </c>
      <c r="AS59" s="97">
        <f t="shared" si="57"/>
        <v>0</v>
      </c>
      <c r="AT59" s="97">
        <f t="shared" si="58"/>
        <v>0</v>
      </c>
      <c r="AU59" s="97">
        <f t="shared" si="59"/>
        <v>0</v>
      </c>
      <c r="AV59" s="97">
        <f t="shared" si="60"/>
        <v>0</v>
      </c>
      <c r="AW59" s="97">
        <f t="shared" si="61"/>
        <v>0</v>
      </c>
      <c r="AX59" s="97">
        <f t="shared" si="62"/>
        <v>0</v>
      </c>
      <c r="AY59" s="97">
        <f t="shared" si="63"/>
        <v>0</v>
      </c>
      <c r="AZ59" s="97">
        <f t="shared" si="64"/>
        <v>0</v>
      </c>
      <c r="BA59" s="83">
        <f>SUM(Summary[[#This Row],[3* (Tal)]],Summary[[#This Row],[3* (Asc)]])</f>
        <v>0</v>
      </c>
      <c r="BB59" s="1">
        <f>SUM(Summary[[#This Row],[2* (Tal)]],Summary[[#This Row],[2* (Asc)]])</f>
        <v>0</v>
      </c>
      <c r="BC59" s="69">
        <f>SUM(Summary[[#This Row],[1* (Tal)]],Summary[[#This Row],[1* (Asc)]])</f>
        <v>0</v>
      </c>
    </row>
    <row r="60" spans="1:55" x14ac:dyDescent="0.25">
      <c r="A60" s="86">
        <f>SUBTOTAL(3,$B$3:B60)</f>
        <v>58</v>
      </c>
      <c r="B60" s="88" t="s">
        <v>270</v>
      </c>
      <c r="C60" s="90" t="s">
        <v>252</v>
      </c>
      <c r="D60" s="16" t="s">
        <v>69</v>
      </c>
      <c r="E60" s="11" t="s">
        <v>69</v>
      </c>
      <c r="F60" s="2" t="s">
        <v>69</v>
      </c>
      <c r="G60" s="12" t="s">
        <v>69</v>
      </c>
      <c r="H60" s="83" t="s">
        <v>121</v>
      </c>
      <c r="I60" s="12">
        <f t="shared" si="42"/>
        <v>0</v>
      </c>
      <c r="J60" s="92">
        <f t="shared" si="43"/>
        <v>0</v>
      </c>
      <c r="K60" s="93" t="s">
        <v>122</v>
      </c>
      <c r="L60" s="94">
        <f t="shared" si="44"/>
        <v>0</v>
      </c>
      <c r="M60" s="94">
        <f t="shared" si="45"/>
        <v>0</v>
      </c>
      <c r="N60" s="95">
        <f t="shared" si="46"/>
        <v>0</v>
      </c>
      <c r="O60" s="93">
        <f t="shared" si="65"/>
        <v>0</v>
      </c>
      <c r="P60" s="94">
        <f t="shared" si="66"/>
        <v>0</v>
      </c>
      <c r="Q60" s="94">
        <f t="shared" si="67"/>
        <v>0</v>
      </c>
      <c r="R60" s="94">
        <f t="shared" si="68"/>
        <v>0</v>
      </c>
      <c r="S60" s="94">
        <f t="shared" si="69"/>
        <v>0</v>
      </c>
      <c r="T60" s="94">
        <f t="shared" si="70"/>
        <v>0</v>
      </c>
      <c r="U60" s="94">
        <f t="shared" si="71"/>
        <v>0</v>
      </c>
      <c r="V60" s="94">
        <f t="shared" si="72"/>
        <v>0</v>
      </c>
      <c r="W60" s="95">
        <f t="shared" si="73"/>
        <v>0</v>
      </c>
      <c r="X60" s="10" t="s">
        <v>104</v>
      </c>
      <c r="Y60" s="1" t="s">
        <v>200</v>
      </c>
      <c r="Z60" s="1">
        <f t="shared" si="74"/>
        <v>0</v>
      </c>
      <c r="AA60" s="1">
        <f t="shared" si="75"/>
        <v>0</v>
      </c>
      <c r="AB60" s="1">
        <f t="shared" si="76"/>
        <v>0</v>
      </c>
      <c r="AC60" s="12">
        <f t="shared" si="47"/>
        <v>0</v>
      </c>
      <c r="AD60" s="1" t="s">
        <v>271</v>
      </c>
      <c r="AE60" s="2">
        <f t="shared" si="48"/>
        <v>0</v>
      </c>
      <c r="AF60" s="83" t="s">
        <v>256</v>
      </c>
      <c r="AG60" s="1">
        <f t="shared" si="49"/>
        <v>0</v>
      </c>
      <c r="AH60" s="1">
        <f t="shared" si="50"/>
        <v>0</v>
      </c>
      <c r="AI60" s="1">
        <f t="shared" si="51"/>
        <v>0</v>
      </c>
      <c r="AJ60" s="69">
        <f t="shared" si="52"/>
        <v>0</v>
      </c>
      <c r="AK60" s="83" t="s">
        <v>197</v>
      </c>
      <c r="AL60" s="1">
        <f t="shared" si="53"/>
        <v>0</v>
      </c>
      <c r="AM60" s="1">
        <f t="shared" si="54"/>
        <v>0</v>
      </c>
      <c r="AN60" s="1">
        <f t="shared" si="55"/>
        <v>0</v>
      </c>
      <c r="AO60" s="98">
        <f>Summary[[#This Row],[3*2]]+Summary[[#This Row],[3*22]]+Summary[[#This Row],[3*23]]</f>
        <v>0</v>
      </c>
      <c r="AP60" s="97">
        <f>Summary[[#This Row],[2*2]]+Summary[[#This Row],[2*23]]+Summary[[#This Row],[2*24]]</f>
        <v>0</v>
      </c>
      <c r="AQ60" s="97">
        <f>Summary[[#This Row],[1*2]]+Summary[[#This Row],[1*24]]+Summary[[#This Row],[1*25]]</f>
        <v>0</v>
      </c>
      <c r="AR60" s="97">
        <f t="shared" si="56"/>
        <v>0</v>
      </c>
      <c r="AS60" s="97">
        <f t="shared" si="57"/>
        <v>0</v>
      </c>
      <c r="AT60" s="97">
        <f t="shared" si="58"/>
        <v>0</v>
      </c>
      <c r="AU60" s="97">
        <f t="shared" si="59"/>
        <v>0</v>
      </c>
      <c r="AV60" s="97">
        <f t="shared" si="60"/>
        <v>0</v>
      </c>
      <c r="AW60" s="97">
        <f t="shared" si="61"/>
        <v>0</v>
      </c>
      <c r="AX60" s="97">
        <f t="shared" si="62"/>
        <v>0</v>
      </c>
      <c r="AY60" s="97">
        <f t="shared" si="63"/>
        <v>0</v>
      </c>
      <c r="AZ60" s="97">
        <f t="shared" si="64"/>
        <v>0</v>
      </c>
      <c r="BA60" s="83">
        <f>SUM(Summary[[#This Row],[3* (Tal)]],Summary[[#This Row],[3* (Asc)]])</f>
        <v>0</v>
      </c>
      <c r="BB60" s="1">
        <f>SUM(Summary[[#This Row],[2* (Tal)]],Summary[[#This Row],[2* (Asc)]])</f>
        <v>0</v>
      </c>
      <c r="BC60" s="69">
        <f>SUM(Summary[[#This Row],[1* (Tal)]],Summary[[#This Row],[1* (Asc)]])</f>
        <v>0</v>
      </c>
    </row>
    <row r="61" spans="1:55" x14ac:dyDescent="0.25">
      <c r="A61" s="86">
        <f>SUBTOTAL(3,$B$3:B61)</f>
        <v>59</v>
      </c>
      <c r="B61" s="88" t="s">
        <v>247</v>
      </c>
      <c r="C61" s="90" t="s">
        <v>235</v>
      </c>
      <c r="D61" s="16">
        <v>81</v>
      </c>
      <c r="E61" s="11">
        <v>8</v>
      </c>
      <c r="F61" s="2">
        <v>8</v>
      </c>
      <c r="G61" s="12">
        <v>8</v>
      </c>
      <c r="H61" s="83" t="s">
        <v>237</v>
      </c>
      <c r="I61" s="12">
        <f t="shared" si="42"/>
        <v>0</v>
      </c>
      <c r="J61" s="92">
        <f t="shared" si="43"/>
        <v>0</v>
      </c>
      <c r="K61" s="93" t="s">
        <v>135</v>
      </c>
      <c r="L61" s="94">
        <f t="shared" si="44"/>
        <v>36</v>
      </c>
      <c r="M61" s="94">
        <f t="shared" si="45"/>
        <v>0</v>
      </c>
      <c r="N61" s="95">
        <f t="shared" si="46"/>
        <v>0</v>
      </c>
      <c r="O61" s="93">
        <f t="shared" si="65"/>
        <v>12</v>
      </c>
      <c r="P61" s="94">
        <f t="shared" si="66"/>
        <v>0</v>
      </c>
      <c r="Q61" s="94">
        <f t="shared" si="67"/>
        <v>0</v>
      </c>
      <c r="R61" s="94">
        <f t="shared" si="68"/>
        <v>12</v>
      </c>
      <c r="S61" s="94">
        <f t="shared" si="69"/>
        <v>0</v>
      </c>
      <c r="T61" s="94">
        <f t="shared" si="70"/>
        <v>0</v>
      </c>
      <c r="U61" s="94">
        <f t="shared" si="71"/>
        <v>12</v>
      </c>
      <c r="V61" s="94">
        <f t="shared" si="72"/>
        <v>0</v>
      </c>
      <c r="W61" s="95">
        <f t="shared" si="73"/>
        <v>0</v>
      </c>
      <c r="X61" s="10" t="s">
        <v>113</v>
      </c>
      <c r="Y61" s="1" t="s">
        <v>114</v>
      </c>
      <c r="Z61" s="1">
        <f t="shared" si="74"/>
        <v>2</v>
      </c>
      <c r="AA61" s="1">
        <f t="shared" si="75"/>
        <v>2</v>
      </c>
      <c r="AB61" s="1">
        <f t="shared" si="76"/>
        <v>2</v>
      </c>
      <c r="AC61" s="12">
        <f t="shared" si="47"/>
        <v>6</v>
      </c>
      <c r="AD61" s="1" t="s">
        <v>248</v>
      </c>
      <c r="AE61" s="2">
        <f t="shared" si="48"/>
        <v>0</v>
      </c>
      <c r="AF61" s="83" t="s">
        <v>239</v>
      </c>
      <c r="AG61" s="1">
        <f t="shared" si="49"/>
        <v>0</v>
      </c>
      <c r="AH61" s="1">
        <f t="shared" si="50"/>
        <v>0</v>
      </c>
      <c r="AI61" s="1">
        <f t="shared" si="51"/>
        <v>0</v>
      </c>
      <c r="AJ61" s="69">
        <f t="shared" si="52"/>
        <v>0</v>
      </c>
      <c r="AK61" s="83" t="s">
        <v>179</v>
      </c>
      <c r="AL61" s="1">
        <f t="shared" si="53"/>
        <v>0</v>
      </c>
      <c r="AM61" s="1">
        <f t="shared" si="54"/>
        <v>0</v>
      </c>
      <c r="AN61" s="1">
        <f t="shared" si="55"/>
        <v>0</v>
      </c>
      <c r="AO61" s="98">
        <f>Summary[[#This Row],[3*2]]+Summary[[#This Row],[3*22]]+Summary[[#This Row],[3*23]]</f>
        <v>27</v>
      </c>
      <c r="AP61" s="97">
        <f>Summary[[#This Row],[2*2]]+Summary[[#This Row],[2*23]]+Summary[[#This Row],[2*24]]</f>
        <v>0</v>
      </c>
      <c r="AQ61" s="97">
        <f>Summary[[#This Row],[1*2]]+Summary[[#This Row],[1*24]]+Summary[[#This Row],[1*25]]</f>
        <v>0</v>
      </c>
      <c r="AR61" s="97">
        <f t="shared" si="56"/>
        <v>9</v>
      </c>
      <c r="AS61" s="97">
        <f t="shared" si="57"/>
        <v>0</v>
      </c>
      <c r="AT61" s="97">
        <f t="shared" si="58"/>
        <v>0</v>
      </c>
      <c r="AU61" s="97">
        <f t="shared" si="59"/>
        <v>9</v>
      </c>
      <c r="AV61" s="97">
        <f t="shared" si="60"/>
        <v>0</v>
      </c>
      <c r="AW61" s="97">
        <f t="shared" si="61"/>
        <v>0</v>
      </c>
      <c r="AX61" s="97">
        <f t="shared" si="62"/>
        <v>9</v>
      </c>
      <c r="AY61" s="97">
        <f t="shared" si="63"/>
        <v>0</v>
      </c>
      <c r="AZ61" s="97">
        <f t="shared" si="64"/>
        <v>0</v>
      </c>
      <c r="BA61" s="83">
        <f>SUM(Summary[[#This Row],[3* (Tal)]],Summary[[#This Row],[3* (Asc)]])</f>
        <v>27</v>
      </c>
      <c r="BB61" s="1">
        <f>SUM(Summary[[#This Row],[2* (Tal)]],Summary[[#This Row],[2* (Asc)]])</f>
        <v>0</v>
      </c>
      <c r="BC61" s="69">
        <f>SUM(Summary[[#This Row],[1* (Tal)]],Summary[[#This Row],[1* (Asc)]])</f>
        <v>0</v>
      </c>
    </row>
    <row r="62" spans="1:55" x14ac:dyDescent="0.25">
      <c r="A62" s="86">
        <f>SUBTOTAL(3,$B$3:B62)</f>
        <v>60</v>
      </c>
      <c r="B62" s="88" t="s">
        <v>249</v>
      </c>
      <c r="C62" s="90" t="s">
        <v>235</v>
      </c>
      <c r="D62" s="16">
        <v>81</v>
      </c>
      <c r="E62" s="11">
        <v>1</v>
      </c>
      <c r="F62" s="2">
        <v>5</v>
      </c>
      <c r="G62" s="12">
        <v>1</v>
      </c>
      <c r="H62" s="83" t="s">
        <v>237</v>
      </c>
      <c r="I62" s="12">
        <f t="shared" si="42"/>
        <v>0</v>
      </c>
      <c r="J62" s="92">
        <f t="shared" si="43"/>
        <v>0</v>
      </c>
      <c r="K62" s="93" t="s">
        <v>84</v>
      </c>
      <c r="L62" s="94">
        <f t="shared" si="44"/>
        <v>66</v>
      </c>
      <c r="M62" s="94">
        <f t="shared" si="45"/>
        <v>51</v>
      </c>
      <c r="N62" s="95">
        <f t="shared" si="46"/>
        <v>6</v>
      </c>
      <c r="O62" s="93">
        <f t="shared" si="65"/>
        <v>22</v>
      </c>
      <c r="P62" s="94">
        <f t="shared" si="66"/>
        <v>21</v>
      </c>
      <c r="Q62" s="94">
        <f t="shared" si="67"/>
        <v>3</v>
      </c>
      <c r="R62" s="94">
        <f t="shared" si="68"/>
        <v>22</v>
      </c>
      <c r="S62" s="94">
        <f t="shared" si="69"/>
        <v>9</v>
      </c>
      <c r="T62" s="94">
        <f t="shared" si="70"/>
        <v>0</v>
      </c>
      <c r="U62" s="94">
        <f t="shared" si="71"/>
        <v>22</v>
      </c>
      <c r="V62" s="94">
        <f t="shared" si="72"/>
        <v>21</v>
      </c>
      <c r="W62" s="95">
        <f t="shared" si="73"/>
        <v>3</v>
      </c>
      <c r="X62" s="10" t="s">
        <v>70</v>
      </c>
      <c r="Y62" s="1" t="s">
        <v>231</v>
      </c>
      <c r="Z62" s="1">
        <f t="shared" si="74"/>
        <v>4</v>
      </c>
      <c r="AA62" s="1">
        <f t="shared" si="75"/>
        <v>4</v>
      </c>
      <c r="AB62" s="1">
        <f t="shared" si="76"/>
        <v>4</v>
      </c>
      <c r="AC62" s="12">
        <f t="shared" si="47"/>
        <v>12</v>
      </c>
      <c r="AD62" s="1" t="s">
        <v>183</v>
      </c>
      <c r="AE62" s="2">
        <f t="shared" si="48"/>
        <v>0</v>
      </c>
      <c r="AF62" s="83" t="s">
        <v>239</v>
      </c>
      <c r="AG62" s="1">
        <f t="shared" si="49"/>
        <v>0</v>
      </c>
      <c r="AH62" s="1">
        <f t="shared" si="50"/>
        <v>0</v>
      </c>
      <c r="AI62" s="1">
        <f t="shared" si="51"/>
        <v>0</v>
      </c>
      <c r="AJ62" s="69">
        <f t="shared" si="52"/>
        <v>0</v>
      </c>
      <c r="AK62" s="83" t="s">
        <v>74</v>
      </c>
      <c r="AL62" s="1">
        <f t="shared" si="53"/>
        <v>0</v>
      </c>
      <c r="AM62" s="1">
        <f t="shared" si="54"/>
        <v>0</v>
      </c>
      <c r="AN62" s="1">
        <f t="shared" si="55"/>
        <v>0</v>
      </c>
      <c r="AO62" s="98">
        <f>Summary[[#This Row],[3*2]]+Summary[[#This Row],[3*22]]+Summary[[#This Row],[3*23]]</f>
        <v>57</v>
      </c>
      <c r="AP62" s="97">
        <f>Summary[[#This Row],[2*2]]+Summary[[#This Row],[2*23]]+Summary[[#This Row],[2*24]]</f>
        <v>53</v>
      </c>
      <c r="AQ62" s="97">
        <f>Summary[[#This Row],[1*2]]+Summary[[#This Row],[1*24]]+Summary[[#This Row],[1*25]]</f>
        <v>12</v>
      </c>
      <c r="AR62" s="97">
        <f t="shared" si="56"/>
        <v>19</v>
      </c>
      <c r="AS62" s="97">
        <f t="shared" si="57"/>
        <v>22</v>
      </c>
      <c r="AT62" s="97">
        <f t="shared" si="58"/>
        <v>6</v>
      </c>
      <c r="AU62" s="97">
        <f t="shared" si="59"/>
        <v>19</v>
      </c>
      <c r="AV62" s="97">
        <f t="shared" si="60"/>
        <v>9</v>
      </c>
      <c r="AW62" s="97">
        <f t="shared" si="61"/>
        <v>0</v>
      </c>
      <c r="AX62" s="97">
        <f t="shared" si="62"/>
        <v>19</v>
      </c>
      <c r="AY62" s="97">
        <f t="shared" si="63"/>
        <v>22</v>
      </c>
      <c r="AZ62" s="97">
        <f t="shared" si="64"/>
        <v>6</v>
      </c>
      <c r="BA62" s="83">
        <f>SUM(Summary[[#This Row],[3* (Tal)]],Summary[[#This Row],[3* (Asc)]])</f>
        <v>57</v>
      </c>
      <c r="BB62" s="1">
        <f>SUM(Summary[[#This Row],[2* (Tal)]],Summary[[#This Row],[2* (Asc)]])</f>
        <v>53</v>
      </c>
      <c r="BC62" s="69">
        <f>SUM(Summary[[#This Row],[1* (Tal)]],Summary[[#This Row],[1* (Asc)]])</f>
        <v>12</v>
      </c>
    </row>
    <row r="63" spans="1:55" x14ac:dyDescent="0.25">
      <c r="A63" s="86">
        <f>SUBTOTAL(3,$B$3:B63)</f>
        <v>61</v>
      </c>
      <c r="B63" s="88" t="s">
        <v>180</v>
      </c>
      <c r="C63" s="90" t="s">
        <v>139</v>
      </c>
      <c r="D63" s="16">
        <v>80</v>
      </c>
      <c r="E63" s="11">
        <v>2</v>
      </c>
      <c r="F63" s="2">
        <v>5</v>
      </c>
      <c r="G63" s="12">
        <v>5</v>
      </c>
      <c r="H63" s="83" t="s">
        <v>152</v>
      </c>
      <c r="I63" s="12">
        <f t="shared" si="42"/>
        <v>20</v>
      </c>
      <c r="J63" s="92">
        <f t="shared" si="43"/>
        <v>172</v>
      </c>
      <c r="K63" s="93" t="s">
        <v>135</v>
      </c>
      <c r="L63" s="94">
        <f t="shared" si="44"/>
        <v>66</v>
      </c>
      <c r="M63" s="94">
        <f t="shared" si="45"/>
        <v>39</v>
      </c>
      <c r="N63" s="95">
        <f t="shared" si="46"/>
        <v>0</v>
      </c>
      <c r="O63" s="93">
        <f t="shared" si="65"/>
        <v>22</v>
      </c>
      <c r="P63" s="94">
        <f t="shared" si="66"/>
        <v>21</v>
      </c>
      <c r="Q63" s="94">
        <f t="shared" si="67"/>
        <v>0</v>
      </c>
      <c r="R63" s="94">
        <f t="shared" si="68"/>
        <v>22</v>
      </c>
      <c r="S63" s="94">
        <f t="shared" si="69"/>
        <v>9</v>
      </c>
      <c r="T63" s="94">
        <f t="shared" si="70"/>
        <v>0</v>
      </c>
      <c r="U63" s="94">
        <f t="shared" si="71"/>
        <v>22</v>
      </c>
      <c r="V63" s="94">
        <f t="shared" si="72"/>
        <v>9</v>
      </c>
      <c r="W63" s="95">
        <f t="shared" si="73"/>
        <v>0</v>
      </c>
      <c r="X63" s="10" t="s">
        <v>113</v>
      </c>
      <c r="Y63" s="1" t="s">
        <v>117</v>
      </c>
      <c r="Z63" s="1">
        <f t="shared" si="74"/>
        <v>4</v>
      </c>
      <c r="AA63" s="1">
        <f t="shared" si="75"/>
        <v>4</v>
      </c>
      <c r="AB63" s="1">
        <f t="shared" si="76"/>
        <v>4</v>
      </c>
      <c r="AC63" s="12">
        <f t="shared" si="47"/>
        <v>12</v>
      </c>
      <c r="AD63" s="1" t="s">
        <v>181</v>
      </c>
      <c r="AE63" s="2">
        <f t="shared" si="48"/>
        <v>60</v>
      </c>
      <c r="AF63" s="83" t="s">
        <v>144</v>
      </c>
      <c r="AG63" s="1">
        <f t="shared" si="49"/>
        <v>6</v>
      </c>
      <c r="AH63" s="1">
        <f t="shared" si="50"/>
        <v>0</v>
      </c>
      <c r="AI63" s="1">
        <f t="shared" si="51"/>
        <v>0</v>
      </c>
      <c r="AJ63" s="69">
        <f t="shared" si="52"/>
        <v>0</v>
      </c>
      <c r="AK63" s="83" t="s">
        <v>132</v>
      </c>
      <c r="AL63" s="1">
        <f t="shared" si="53"/>
        <v>24</v>
      </c>
      <c r="AM63" s="1">
        <f t="shared" si="54"/>
        <v>0</v>
      </c>
      <c r="AN63" s="1">
        <f t="shared" si="55"/>
        <v>0</v>
      </c>
      <c r="AO63" s="98">
        <f>Summary[[#This Row],[3*2]]+Summary[[#This Row],[3*22]]+Summary[[#This Row],[3*23]]</f>
        <v>57</v>
      </c>
      <c r="AP63" s="97">
        <f>Summary[[#This Row],[2*2]]+Summary[[#This Row],[2*23]]+Summary[[#This Row],[2*24]]</f>
        <v>40</v>
      </c>
      <c r="AQ63" s="97">
        <f>Summary[[#This Row],[1*2]]+Summary[[#This Row],[1*24]]+Summary[[#This Row],[1*25]]</f>
        <v>0</v>
      </c>
      <c r="AR63" s="97">
        <f t="shared" si="56"/>
        <v>19</v>
      </c>
      <c r="AS63" s="97">
        <f t="shared" si="57"/>
        <v>22</v>
      </c>
      <c r="AT63" s="97">
        <f t="shared" si="58"/>
        <v>0</v>
      </c>
      <c r="AU63" s="97">
        <f t="shared" si="59"/>
        <v>19</v>
      </c>
      <c r="AV63" s="97">
        <f t="shared" si="60"/>
        <v>9</v>
      </c>
      <c r="AW63" s="97">
        <f t="shared" si="61"/>
        <v>0</v>
      </c>
      <c r="AX63" s="97">
        <f t="shared" si="62"/>
        <v>19</v>
      </c>
      <c r="AY63" s="97">
        <f t="shared" si="63"/>
        <v>9</v>
      </c>
      <c r="AZ63" s="97">
        <f t="shared" si="64"/>
        <v>0</v>
      </c>
      <c r="BA63" s="83">
        <f>SUM(Summary[[#This Row],[3* (Tal)]],Summary[[#This Row],[3* (Asc)]])</f>
        <v>81</v>
      </c>
      <c r="BB63" s="1">
        <f>SUM(Summary[[#This Row],[2* (Tal)]],Summary[[#This Row],[2* (Asc)]])</f>
        <v>40</v>
      </c>
      <c r="BC63" s="69">
        <f>SUM(Summary[[#This Row],[1* (Tal)]],Summary[[#This Row],[1* (Asc)]])</f>
        <v>0</v>
      </c>
    </row>
    <row r="64" spans="1:55" x14ac:dyDescent="0.25">
      <c r="A64" s="86">
        <f>SUBTOTAL(3,$B$3:B64)</f>
        <v>62</v>
      </c>
      <c r="B64" s="88" t="s">
        <v>232</v>
      </c>
      <c r="C64" s="90" t="s">
        <v>212</v>
      </c>
      <c r="D64" s="16">
        <v>90</v>
      </c>
      <c r="E64" s="11">
        <v>1</v>
      </c>
      <c r="F64" s="2">
        <v>9</v>
      </c>
      <c r="G64" s="12">
        <v>10</v>
      </c>
      <c r="H64" s="83" t="s">
        <v>225</v>
      </c>
      <c r="I64" s="12">
        <f t="shared" si="42"/>
        <v>0</v>
      </c>
      <c r="J64" s="92">
        <f t="shared" si="43"/>
        <v>0</v>
      </c>
      <c r="K64" s="93" t="s">
        <v>108</v>
      </c>
      <c r="L64" s="94">
        <f t="shared" si="44"/>
        <v>22</v>
      </c>
      <c r="M64" s="94">
        <f t="shared" si="45"/>
        <v>21</v>
      </c>
      <c r="N64" s="95">
        <f t="shared" si="46"/>
        <v>3</v>
      </c>
      <c r="O64" s="93">
        <f t="shared" si="65"/>
        <v>22</v>
      </c>
      <c r="P64" s="94">
        <f t="shared" si="66"/>
        <v>21</v>
      </c>
      <c r="Q64" s="94">
        <f t="shared" si="67"/>
        <v>3</v>
      </c>
      <c r="R64" s="94">
        <f t="shared" si="68"/>
        <v>0</v>
      </c>
      <c r="S64" s="94">
        <f t="shared" si="69"/>
        <v>0</v>
      </c>
      <c r="T64" s="94">
        <f t="shared" si="70"/>
        <v>0</v>
      </c>
      <c r="U64" s="94">
        <f t="shared" si="71"/>
        <v>0</v>
      </c>
      <c r="V64" s="94">
        <f t="shared" si="72"/>
        <v>0</v>
      </c>
      <c r="W64" s="95">
        <f t="shared" si="73"/>
        <v>0</v>
      </c>
      <c r="X64" s="10" t="s">
        <v>142</v>
      </c>
      <c r="Y64" s="1" t="s">
        <v>143</v>
      </c>
      <c r="Z64" s="1">
        <f t="shared" si="74"/>
        <v>4</v>
      </c>
      <c r="AA64" s="1">
        <f t="shared" si="75"/>
        <v>0</v>
      </c>
      <c r="AB64" s="1">
        <f t="shared" si="76"/>
        <v>0</v>
      </c>
      <c r="AC64" s="12">
        <f t="shared" si="47"/>
        <v>4</v>
      </c>
      <c r="AD64" s="1" t="s">
        <v>205</v>
      </c>
      <c r="AE64" s="2">
        <f t="shared" si="48"/>
        <v>0</v>
      </c>
      <c r="AF64" s="83" t="s">
        <v>217</v>
      </c>
      <c r="AG64" s="1">
        <f t="shared" si="49"/>
        <v>0</v>
      </c>
      <c r="AH64" s="1">
        <f t="shared" si="50"/>
        <v>0</v>
      </c>
      <c r="AI64" s="1">
        <f t="shared" si="51"/>
        <v>0</v>
      </c>
      <c r="AJ64" s="69">
        <f t="shared" si="52"/>
        <v>0</v>
      </c>
      <c r="AK64" s="83" t="s">
        <v>125</v>
      </c>
      <c r="AL64" s="1">
        <f t="shared" si="53"/>
        <v>0</v>
      </c>
      <c r="AM64" s="1">
        <f t="shared" si="54"/>
        <v>0</v>
      </c>
      <c r="AN64" s="1">
        <f t="shared" si="55"/>
        <v>0</v>
      </c>
      <c r="AO64" s="98">
        <f>Summary[[#This Row],[3*2]]+Summary[[#This Row],[3*22]]+Summary[[#This Row],[3*23]]</f>
        <v>19</v>
      </c>
      <c r="AP64" s="97">
        <f>Summary[[#This Row],[2*2]]+Summary[[#This Row],[2*23]]+Summary[[#This Row],[2*24]]</f>
        <v>22</v>
      </c>
      <c r="AQ64" s="97">
        <f>Summary[[#This Row],[1*2]]+Summary[[#This Row],[1*24]]+Summary[[#This Row],[1*25]]</f>
        <v>6</v>
      </c>
      <c r="AR64" s="97">
        <f t="shared" si="56"/>
        <v>19</v>
      </c>
      <c r="AS64" s="97">
        <f t="shared" si="57"/>
        <v>22</v>
      </c>
      <c r="AT64" s="97">
        <f t="shared" si="58"/>
        <v>6</v>
      </c>
      <c r="AU64" s="97">
        <f t="shared" si="59"/>
        <v>0</v>
      </c>
      <c r="AV64" s="97">
        <f t="shared" si="60"/>
        <v>0</v>
      </c>
      <c r="AW64" s="97">
        <f t="shared" si="61"/>
        <v>0</v>
      </c>
      <c r="AX64" s="97">
        <f t="shared" si="62"/>
        <v>0</v>
      </c>
      <c r="AY64" s="97">
        <f t="shared" si="63"/>
        <v>0</v>
      </c>
      <c r="AZ64" s="97">
        <f t="shared" si="64"/>
        <v>0</v>
      </c>
      <c r="BA64" s="83">
        <f>SUM(Summary[[#This Row],[3* (Tal)]],Summary[[#This Row],[3* (Asc)]])</f>
        <v>19</v>
      </c>
      <c r="BB64" s="1">
        <f>SUM(Summary[[#This Row],[2* (Tal)]],Summary[[#This Row],[2* (Asc)]])</f>
        <v>22</v>
      </c>
      <c r="BC64" s="69">
        <f>SUM(Summary[[#This Row],[1* (Tal)]],Summary[[#This Row],[1* (Asc)]])</f>
        <v>6</v>
      </c>
    </row>
    <row r="65" spans="1:55" x14ac:dyDescent="0.25">
      <c r="A65" s="86">
        <f>SUBTOTAL(3,$B$3:B65)</f>
        <v>63</v>
      </c>
      <c r="B65" s="88" t="s">
        <v>233</v>
      </c>
      <c r="C65" s="90" t="s">
        <v>212</v>
      </c>
      <c r="D65" s="16">
        <v>80</v>
      </c>
      <c r="E65" s="11">
        <v>8</v>
      </c>
      <c r="F65" s="2">
        <v>6</v>
      </c>
      <c r="G65" s="12">
        <v>8</v>
      </c>
      <c r="H65" s="83" t="s">
        <v>215</v>
      </c>
      <c r="I65" s="12">
        <f t="shared" si="42"/>
        <v>20</v>
      </c>
      <c r="J65" s="92">
        <f t="shared" si="43"/>
        <v>172</v>
      </c>
      <c r="K65" s="93" t="s">
        <v>84</v>
      </c>
      <c r="L65" s="94">
        <f t="shared" si="44"/>
        <v>46</v>
      </c>
      <c r="M65" s="94">
        <f t="shared" si="45"/>
        <v>0</v>
      </c>
      <c r="N65" s="95">
        <f t="shared" si="46"/>
        <v>0</v>
      </c>
      <c r="O65" s="93">
        <f t="shared" si="65"/>
        <v>12</v>
      </c>
      <c r="P65" s="94">
        <f t="shared" si="66"/>
        <v>0</v>
      </c>
      <c r="Q65" s="94">
        <f t="shared" si="67"/>
        <v>0</v>
      </c>
      <c r="R65" s="94">
        <f t="shared" si="68"/>
        <v>22</v>
      </c>
      <c r="S65" s="94">
        <f t="shared" si="69"/>
        <v>0</v>
      </c>
      <c r="T65" s="94">
        <f t="shared" si="70"/>
        <v>0</v>
      </c>
      <c r="U65" s="94">
        <f t="shared" si="71"/>
        <v>12</v>
      </c>
      <c r="V65" s="94">
        <f t="shared" si="72"/>
        <v>0</v>
      </c>
      <c r="W65" s="95">
        <f t="shared" si="73"/>
        <v>0</v>
      </c>
      <c r="X65" s="10" t="s">
        <v>70</v>
      </c>
      <c r="Y65" s="1" t="s">
        <v>231</v>
      </c>
      <c r="Z65" s="1">
        <f t="shared" si="74"/>
        <v>2</v>
      </c>
      <c r="AA65" s="1">
        <f t="shared" si="75"/>
        <v>4</v>
      </c>
      <c r="AB65" s="1">
        <f t="shared" si="76"/>
        <v>2</v>
      </c>
      <c r="AC65" s="12">
        <f t="shared" si="47"/>
        <v>8</v>
      </c>
      <c r="AD65" s="1" t="s">
        <v>178</v>
      </c>
      <c r="AE65" s="2">
        <f t="shared" si="48"/>
        <v>60</v>
      </c>
      <c r="AF65" s="83" t="s">
        <v>217</v>
      </c>
      <c r="AG65" s="1">
        <f t="shared" si="49"/>
        <v>6</v>
      </c>
      <c r="AH65" s="1">
        <f t="shared" si="50"/>
        <v>0</v>
      </c>
      <c r="AI65" s="1">
        <f t="shared" si="51"/>
        <v>0</v>
      </c>
      <c r="AJ65" s="69">
        <f t="shared" si="52"/>
        <v>0</v>
      </c>
      <c r="AK65" s="83" t="s">
        <v>74</v>
      </c>
      <c r="AL65" s="1">
        <f t="shared" si="53"/>
        <v>24</v>
      </c>
      <c r="AM65" s="1">
        <f t="shared" si="54"/>
        <v>0</v>
      </c>
      <c r="AN65" s="1">
        <f t="shared" si="55"/>
        <v>0</v>
      </c>
      <c r="AO65" s="98">
        <f>Summary[[#This Row],[3*2]]+Summary[[#This Row],[3*22]]+Summary[[#This Row],[3*23]]</f>
        <v>37</v>
      </c>
      <c r="AP65" s="97">
        <f>Summary[[#This Row],[2*2]]+Summary[[#This Row],[2*23]]+Summary[[#This Row],[2*24]]</f>
        <v>0</v>
      </c>
      <c r="AQ65" s="97">
        <f>Summary[[#This Row],[1*2]]+Summary[[#This Row],[1*24]]+Summary[[#This Row],[1*25]]</f>
        <v>0</v>
      </c>
      <c r="AR65" s="97">
        <f t="shared" si="56"/>
        <v>9</v>
      </c>
      <c r="AS65" s="97">
        <f t="shared" si="57"/>
        <v>0</v>
      </c>
      <c r="AT65" s="97">
        <f t="shared" si="58"/>
        <v>0</v>
      </c>
      <c r="AU65" s="97">
        <f t="shared" si="59"/>
        <v>19</v>
      </c>
      <c r="AV65" s="97">
        <f t="shared" si="60"/>
        <v>0</v>
      </c>
      <c r="AW65" s="97">
        <f t="shared" si="61"/>
        <v>0</v>
      </c>
      <c r="AX65" s="97">
        <f t="shared" si="62"/>
        <v>9</v>
      </c>
      <c r="AY65" s="97">
        <f t="shared" si="63"/>
        <v>0</v>
      </c>
      <c r="AZ65" s="97">
        <f t="shared" si="64"/>
        <v>0</v>
      </c>
      <c r="BA65" s="83">
        <f>SUM(Summary[[#This Row],[3* (Tal)]],Summary[[#This Row],[3* (Asc)]])</f>
        <v>61</v>
      </c>
      <c r="BB65" s="1">
        <f>SUM(Summary[[#This Row],[2* (Tal)]],Summary[[#This Row],[2* (Asc)]])</f>
        <v>0</v>
      </c>
      <c r="BC65" s="69">
        <f>SUM(Summary[[#This Row],[1* (Tal)]],Summary[[#This Row],[1* (Asc)]])</f>
        <v>0</v>
      </c>
    </row>
    <row r="66" spans="1:55" x14ac:dyDescent="0.25">
      <c r="A66" s="86">
        <f>SUBTOTAL(3,$B$3:B66)</f>
        <v>64</v>
      </c>
      <c r="B66" s="88" t="s">
        <v>182</v>
      </c>
      <c r="C66" s="90" t="s">
        <v>139</v>
      </c>
      <c r="D66" s="16">
        <v>20</v>
      </c>
      <c r="E66" s="11">
        <v>1</v>
      </c>
      <c r="F66" s="2">
        <v>1</v>
      </c>
      <c r="G66" s="12">
        <v>1</v>
      </c>
      <c r="H66" s="83" t="s">
        <v>152</v>
      </c>
      <c r="I66" s="12">
        <f t="shared" si="42"/>
        <v>46</v>
      </c>
      <c r="J66" s="92">
        <f t="shared" si="43"/>
        <v>413</v>
      </c>
      <c r="K66" s="93" t="s">
        <v>116</v>
      </c>
      <c r="L66" s="94">
        <f t="shared" si="44"/>
        <v>66</v>
      </c>
      <c r="M66" s="94">
        <f t="shared" si="45"/>
        <v>63</v>
      </c>
      <c r="N66" s="95">
        <f t="shared" si="46"/>
        <v>9</v>
      </c>
      <c r="O66" s="93">
        <f t="shared" si="65"/>
        <v>22</v>
      </c>
      <c r="P66" s="94">
        <f t="shared" si="66"/>
        <v>21</v>
      </c>
      <c r="Q66" s="94">
        <f t="shared" si="67"/>
        <v>3</v>
      </c>
      <c r="R66" s="94">
        <f t="shared" si="68"/>
        <v>22</v>
      </c>
      <c r="S66" s="94">
        <f t="shared" si="69"/>
        <v>21</v>
      </c>
      <c r="T66" s="94">
        <f t="shared" si="70"/>
        <v>3</v>
      </c>
      <c r="U66" s="94">
        <f t="shared" si="71"/>
        <v>22</v>
      </c>
      <c r="V66" s="94">
        <f t="shared" si="72"/>
        <v>21</v>
      </c>
      <c r="W66" s="95">
        <f t="shared" si="73"/>
        <v>3</v>
      </c>
      <c r="X66" s="10" t="s">
        <v>136</v>
      </c>
      <c r="Y66" s="1" t="s">
        <v>137</v>
      </c>
      <c r="Z66" s="1">
        <f t="shared" si="74"/>
        <v>4</v>
      </c>
      <c r="AA66" s="1">
        <f t="shared" si="75"/>
        <v>4</v>
      </c>
      <c r="AB66" s="1">
        <f t="shared" si="76"/>
        <v>4</v>
      </c>
      <c r="AC66" s="12">
        <f t="shared" si="47"/>
        <v>12</v>
      </c>
      <c r="AD66" s="1" t="s">
        <v>183</v>
      </c>
      <c r="AE66" s="2">
        <f t="shared" si="48"/>
        <v>168</v>
      </c>
      <c r="AF66" s="83" t="s">
        <v>144</v>
      </c>
      <c r="AG66" s="1">
        <f t="shared" si="49"/>
        <v>6</v>
      </c>
      <c r="AH66" s="1">
        <f t="shared" si="50"/>
        <v>9</v>
      </c>
      <c r="AI66" s="1">
        <f t="shared" si="51"/>
        <v>9</v>
      </c>
      <c r="AJ66" s="69">
        <f t="shared" si="52"/>
        <v>1</v>
      </c>
      <c r="AK66" s="83" t="s">
        <v>179</v>
      </c>
      <c r="AL66" s="1">
        <f t="shared" si="53"/>
        <v>36</v>
      </c>
      <c r="AM66" s="1">
        <f t="shared" si="54"/>
        <v>30</v>
      </c>
      <c r="AN66" s="1">
        <f t="shared" si="55"/>
        <v>18</v>
      </c>
      <c r="AO66" s="98">
        <f>Summary[[#This Row],[3*2]]+Summary[[#This Row],[3*22]]+Summary[[#This Row],[3*23]]</f>
        <v>57</v>
      </c>
      <c r="AP66" s="97">
        <f>Summary[[#This Row],[2*2]]+Summary[[#This Row],[2*23]]+Summary[[#This Row],[2*24]]</f>
        <v>66</v>
      </c>
      <c r="AQ66" s="97">
        <f>Summary[[#This Row],[1*2]]+Summary[[#This Row],[1*24]]+Summary[[#This Row],[1*25]]</f>
        <v>18</v>
      </c>
      <c r="AR66" s="97">
        <f t="shared" si="56"/>
        <v>19</v>
      </c>
      <c r="AS66" s="97">
        <f t="shared" si="57"/>
        <v>22</v>
      </c>
      <c r="AT66" s="97">
        <f t="shared" si="58"/>
        <v>6</v>
      </c>
      <c r="AU66" s="97">
        <f t="shared" si="59"/>
        <v>19</v>
      </c>
      <c r="AV66" s="97">
        <f t="shared" si="60"/>
        <v>22</v>
      </c>
      <c r="AW66" s="97">
        <f t="shared" si="61"/>
        <v>6</v>
      </c>
      <c r="AX66" s="97">
        <f t="shared" si="62"/>
        <v>19</v>
      </c>
      <c r="AY66" s="97">
        <f t="shared" si="63"/>
        <v>22</v>
      </c>
      <c r="AZ66" s="97">
        <f t="shared" si="64"/>
        <v>6</v>
      </c>
      <c r="BA66" s="83">
        <f>SUM(Summary[[#This Row],[3* (Tal)]],Summary[[#This Row],[3* (Asc)]])</f>
        <v>93</v>
      </c>
      <c r="BB66" s="1">
        <f>SUM(Summary[[#This Row],[2* (Tal)]],Summary[[#This Row],[2* (Asc)]])</f>
        <v>96</v>
      </c>
      <c r="BC66" s="69">
        <f>SUM(Summary[[#This Row],[1* (Tal)]],Summary[[#This Row],[1* (Asc)]])</f>
        <v>36</v>
      </c>
    </row>
    <row r="67" spans="1:55" x14ac:dyDescent="0.25">
      <c r="A67" s="86">
        <f>SUBTOTAL(3,$B$3:B67)</f>
        <v>65</v>
      </c>
      <c r="B67" s="88" t="s">
        <v>107</v>
      </c>
      <c r="C67" s="90" t="s">
        <v>67</v>
      </c>
      <c r="D67" s="16">
        <v>22</v>
      </c>
      <c r="E67" s="11">
        <v>1</v>
      </c>
      <c r="F67" s="2">
        <v>1</v>
      </c>
      <c r="G67" s="12">
        <v>1</v>
      </c>
      <c r="H67" s="83" t="s">
        <v>88</v>
      </c>
      <c r="I67" s="12">
        <f t="shared" ref="I67:I87" si="77">(IF(D67&lt;=40,"46",IF(D67&lt;=50,"44",IF(D67&lt;=60,"40",IF(D67&lt;=70,"32",IF(D67&lt;=80,"20","0"))))))+0</f>
        <v>46</v>
      </c>
      <c r="J67" s="92">
        <f t="shared" ref="J67:J87" si="78">(IF(D67&lt;=1,"419",IF(D67&lt;=10,"417",IF(D67&lt;=20,"413",IF(D67&lt;=30,"402",IF(D67&lt;=40,"384",IF(D67&lt;=50,"355",IF(D67&lt;=60,"312",IF(D67&lt;=70,"252",IF(D67&lt;=80,"172",0))))))))))+0</f>
        <v>402</v>
      </c>
      <c r="K67" s="93" t="s">
        <v>108</v>
      </c>
      <c r="L67" s="94">
        <f t="shared" ref="L67:L87" si="79">O67+R67+U67</f>
        <v>66</v>
      </c>
      <c r="M67" s="94">
        <f t="shared" ref="M67:M87" si="80">P67+S67+V67</f>
        <v>63</v>
      </c>
      <c r="N67" s="95">
        <f t="shared" ref="N67:N87" si="81">Q67+T67+W67</f>
        <v>9</v>
      </c>
      <c r="O67" s="93">
        <f t="shared" si="65"/>
        <v>22</v>
      </c>
      <c r="P67" s="94">
        <f t="shared" si="66"/>
        <v>21</v>
      </c>
      <c r="Q67" s="94">
        <f t="shared" si="67"/>
        <v>3</v>
      </c>
      <c r="R67" s="94">
        <f t="shared" si="68"/>
        <v>22</v>
      </c>
      <c r="S67" s="94">
        <f t="shared" si="69"/>
        <v>21</v>
      </c>
      <c r="T67" s="94">
        <f t="shared" si="70"/>
        <v>3</v>
      </c>
      <c r="U67" s="94">
        <f t="shared" si="71"/>
        <v>22</v>
      </c>
      <c r="V67" s="94">
        <f t="shared" si="72"/>
        <v>21</v>
      </c>
      <c r="W67" s="95">
        <f t="shared" si="73"/>
        <v>3</v>
      </c>
      <c r="X67" s="10" t="s">
        <v>90</v>
      </c>
      <c r="Y67" s="1" t="s">
        <v>91</v>
      </c>
      <c r="Z67" s="1">
        <f t="shared" si="74"/>
        <v>4</v>
      </c>
      <c r="AA67" s="1">
        <f t="shared" si="75"/>
        <v>4</v>
      </c>
      <c r="AB67" s="1">
        <f t="shared" si="76"/>
        <v>4</v>
      </c>
      <c r="AC67" s="12">
        <f t="shared" ref="AC67:AC87" si="82">SUM(Z67:AB67)</f>
        <v>12</v>
      </c>
      <c r="AD67" s="1" t="s">
        <v>109</v>
      </c>
      <c r="AE67" s="2">
        <f t="shared" ref="AE67:AE87" si="83">IF($D67&lt;=20,"168",IF($D67&lt;=30,"165",IF($D67&lt;=50,"155",IF($D67&lt;=60,"135",IF($D67&lt;=70,"105",IF($D67&lt;=80,"60","0"))))))+0</f>
        <v>165</v>
      </c>
      <c r="AF67" s="83" t="s">
        <v>80</v>
      </c>
      <c r="AG67" s="1">
        <f t="shared" ref="AG67:AG87" si="84">IF($D67&lt;=80,"6","0")+0</f>
        <v>6</v>
      </c>
      <c r="AH67" s="1">
        <f t="shared" ref="AH67:AH87" si="85">IF($D67&lt;=60,"9",IF($D67&lt;=70,"6","0"))+0</f>
        <v>9</v>
      </c>
      <c r="AI67" s="1">
        <f t="shared" ref="AI67:AI87" si="86">IF($D67&lt;=40,"9",IF($D67&lt;=50,"6","0"))+0</f>
        <v>9</v>
      </c>
      <c r="AJ67" s="69">
        <f t="shared" ref="AJ67:AJ87" si="87">(IF($D67&lt;=20,"1","0"))+0</f>
        <v>0</v>
      </c>
      <c r="AK67" s="83" t="s">
        <v>110</v>
      </c>
      <c r="AL67" s="1">
        <f t="shared" ref="AL67:AL87" si="88">IF($D67&lt;=70,"36",IF($D67&lt;=80,"24","0"))+0</f>
        <v>36</v>
      </c>
      <c r="AM67" s="1">
        <f t="shared" ref="AM67:AM87" si="89">IF($D67&lt;=50,"30",IF($D67&lt;=60,"18","0"))+0</f>
        <v>30</v>
      </c>
      <c r="AN67" s="1">
        <f t="shared" ref="AN67:AN87" si="90">IF($D67&lt;=20,"18",IF($D67&lt;=40,"15","0"))+0</f>
        <v>15</v>
      </c>
      <c r="AO67" s="98">
        <f>Summary[[#This Row],[3*2]]+Summary[[#This Row],[3*22]]+Summary[[#This Row],[3*23]]</f>
        <v>57</v>
      </c>
      <c r="AP67" s="97">
        <f>Summary[[#This Row],[2*2]]+Summary[[#This Row],[2*23]]+Summary[[#This Row],[2*24]]</f>
        <v>66</v>
      </c>
      <c r="AQ67" s="97">
        <f>Summary[[#This Row],[1*2]]+Summary[[#This Row],[1*24]]+Summary[[#This Row],[1*25]]</f>
        <v>18</v>
      </c>
      <c r="AR67" s="97">
        <f t="shared" ref="AR67:AR87" si="91">(IF($E67&lt;=6,"19",IF($E67&lt;=7,"18",IF($E67&lt;=8,"9",0)))+0)</f>
        <v>19</v>
      </c>
      <c r="AS67" s="97">
        <f t="shared" ref="AS67:AS87" si="92">(IF($E67&lt;=2,"22",IF($E67&lt;=3,"19",IF($E67&lt;=4,"15",IF($E67&lt;=5,"9",0)))))+0</f>
        <v>22</v>
      </c>
      <c r="AT67" s="97">
        <f t="shared" ref="AT67:AT87" si="93">(IF($E67&lt;=1,"6",0))+0</f>
        <v>6</v>
      </c>
      <c r="AU67" s="97">
        <f t="shared" ref="AU67:AU87" si="94">(IF($F67&lt;=6,"19",IF($F67&lt;=7,"18",IF($F67&lt;=8,"9",0)))+0)</f>
        <v>19</v>
      </c>
      <c r="AV67" s="97">
        <f t="shared" ref="AV67:AV87" si="95">(IF($F67&lt;=2,"22",IF($F67&lt;=3,"19",IF($F67&lt;=4,"15",IF($F67&lt;=5,"9",0)))))+0</f>
        <v>22</v>
      </c>
      <c r="AW67" s="97">
        <f t="shared" ref="AW67:AW87" si="96">(IF($F67&lt;=1,"6",0))+0</f>
        <v>6</v>
      </c>
      <c r="AX67" s="97">
        <f t="shared" ref="AX67:AX87" si="97">(IF($G67&lt;=6,"19",IF($G67&lt;=7,"18",IF($G67&lt;=8,"9",0)))+0)</f>
        <v>19</v>
      </c>
      <c r="AY67" s="97">
        <f t="shared" ref="AY67:AY87" si="98">(IF($G67&lt;=2,"22",IF($G67&lt;=3,"19",IF($G67&lt;=4,"15",IF($G67&lt;=5,"9",0)))))+0</f>
        <v>22</v>
      </c>
      <c r="AZ67" s="97">
        <f t="shared" ref="AZ67:AZ87" si="99">(IF($G67&lt;=1,"6",0))+0</f>
        <v>6</v>
      </c>
      <c r="BA67" s="83">
        <f>SUM(Summary[[#This Row],[3* (Tal)]],Summary[[#This Row],[3* (Asc)]])</f>
        <v>93</v>
      </c>
      <c r="BB67" s="1">
        <f>SUM(Summary[[#This Row],[2* (Tal)]],Summary[[#This Row],[2* (Asc)]])</f>
        <v>96</v>
      </c>
      <c r="BC67" s="69">
        <f>SUM(Summary[[#This Row],[1* (Tal)]],Summary[[#This Row],[1* (Asc)]])</f>
        <v>33</v>
      </c>
    </row>
    <row r="68" spans="1:55" x14ac:dyDescent="0.25">
      <c r="A68" s="86">
        <f>SUBTOTAL(3,$B$3:B68)</f>
        <v>66</v>
      </c>
      <c r="B68" s="88" t="s">
        <v>184</v>
      </c>
      <c r="C68" s="90" t="s">
        <v>139</v>
      </c>
      <c r="D68" s="16">
        <v>90</v>
      </c>
      <c r="E68" s="11">
        <v>1</v>
      </c>
      <c r="F68" s="2">
        <v>10</v>
      </c>
      <c r="G68" s="12">
        <v>9</v>
      </c>
      <c r="H68" s="83" t="s">
        <v>185</v>
      </c>
      <c r="I68" s="12">
        <f t="shared" si="77"/>
        <v>0</v>
      </c>
      <c r="J68" s="92">
        <f t="shared" si="78"/>
        <v>0</v>
      </c>
      <c r="K68" s="93" t="s">
        <v>135</v>
      </c>
      <c r="L68" s="94">
        <f t="shared" si="79"/>
        <v>22</v>
      </c>
      <c r="M68" s="94">
        <f t="shared" si="80"/>
        <v>21</v>
      </c>
      <c r="N68" s="95">
        <f t="shared" si="81"/>
        <v>3</v>
      </c>
      <c r="O68" s="93">
        <f t="shared" si="65"/>
        <v>22</v>
      </c>
      <c r="P68" s="94">
        <f t="shared" si="66"/>
        <v>21</v>
      </c>
      <c r="Q68" s="94">
        <f t="shared" si="67"/>
        <v>3</v>
      </c>
      <c r="R68" s="94">
        <f t="shared" si="68"/>
        <v>0</v>
      </c>
      <c r="S68" s="94">
        <f t="shared" si="69"/>
        <v>0</v>
      </c>
      <c r="T68" s="94">
        <f t="shared" si="70"/>
        <v>0</v>
      </c>
      <c r="U68" s="94">
        <f t="shared" si="71"/>
        <v>0</v>
      </c>
      <c r="V68" s="94">
        <f t="shared" si="72"/>
        <v>0</v>
      </c>
      <c r="W68" s="95">
        <f t="shared" si="73"/>
        <v>0</v>
      </c>
      <c r="X68" s="10" t="s">
        <v>142</v>
      </c>
      <c r="Y68" s="1" t="s">
        <v>186</v>
      </c>
      <c r="Z68" s="1">
        <f t="shared" si="74"/>
        <v>4</v>
      </c>
      <c r="AA68" s="1">
        <f t="shared" si="75"/>
        <v>0</v>
      </c>
      <c r="AB68" s="1">
        <f t="shared" si="76"/>
        <v>0</v>
      </c>
      <c r="AC68" s="12">
        <f t="shared" si="82"/>
        <v>4</v>
      </c>
      <c r="AD68" s="1" t="s">
        <v>138</v>
      </c>
      <c r="AE68" s="2">
        <f t="shared" si="83"/>
        <v>0</v>
      </c>
      <c r="AF68" s="83" t="s">
        <v>144</v>
      </c>
      <c r="AG68" s="1">
        <f t="shared" si="84"/>
        <v>0</v>
      </c>
      <c r="AH68" s="1">
        <f t="shared" si="85"/>
        <v>0</v>
      </c>
      <c r="AI68" s="1">
        <f t="shared" si="86"/>
        <v>0</v>
      </c>
      <c r="AJ68" s="69">
        <f t="shared" si="87"/>
        <v>0</v>
      </c>
      <c r="AK68" s="83" t="s">
        <v>110</v>
      </c>
      <c r="AL68" s="1">
        <f t="shared" si="88"/>
        <v>0</v>
      </c>
      <c r="AM68" s="1">
        <f t="shared" si="89"/>
        <v>0</v>
      </c>
      <c r="AN68" s="1">
        <f t="shared" si="90"/>
        <v>0</v>
      </c>
      <c r="AO68" s="98">
        <f>Summary[[#This Row],[3*2]]+Summary[[#This Row],[3*22]]+Summary[[#This Row],[3*23]]</f>
        <v>19</v>
      </c>
      <c r="AP68" s="97">
        <f>Summary[[#This Row],[2*2]]+Summary[[#This Row],[2*23]]+Summary[[#This Row],[2*24]]</f>
        <v>22</v>
      </c>
      <c r="AQ68" s="97">
        <f>Summary[[#This Row],[1*2]]+Summary[[#This Row],[1*24]]+Summary[[#This Row],[1*25]]</f>
        <v>6</v>
      </c>
      <c r="AR68" s="97">
        <f t="shared" si="91"/>
        <v>19</v>
      </c>
      <c r="AS68" s="97">
        <f t="shared" si="92"/>
        <v>22</v>
      </c>
      <c r="AT68" s="97">
        <f t="shared" si="93"/>
        <v>6</v>
      </c>
      <c r="AU68" s="97">
        <f t="shared" si="94"/>
        <v>0</v>
      </c>
      <c r="AV68" s="97">
        <f t="shared" si="95"/>
        <v>0</v>
      </c>
      <c r="AW68" s="97">
        <f t="shared" si="96"/>
        <v>0</v>
      </c>
      <c r="AX68" s="97">
        <f t="shared" si="97"/>
        <v>0</v>
      </c>
      <c r="AY68" s="97">
        <f t="shared" si="98"/>
        <v>0</v>
      </c>
      <c r="AZ68" s="97">
        <f t="shared" si="99"/>
        <v>0</v>
      </c>
      <c r="BA68" s="83">
        <f>SUM(Summary[[#This Row],[3* (Tal)]],Summary[[#This Row],[3* (Asc)]])</f>
        <v>19</v>
      </c>
      <c r="BB68" s="1">
        <f>SUM(Summary[[#This Row],[2* (Tal)]],Summary[[#This Row],[2* (Asc)]])</f>
        <v>22</v>
      </c>
      <c r="BC68" s="69">
        <f>SUM(Summary[[#This Row],[1* (Tal)]],Summary[[#This Row],[1* (Asc)]])</f>
        <v>6</v>
      </c>
    </row>
    <row r="69" spans="1:55" x14ac:dyDescent="0.25">
      <c r="A69" s="86">
        <f>SUBTOTAL(3,$B$3:B69)</f>
        <v>67</v>
      </c>
      <c r="B69" s="88" t="s">
        <v>111</v>
      </c>
      <c r="C69" s="90" t="s">
        <v>67</v>
      </c>
      <c r="D69" s="16">
        <v>81</v>
      </c>
      <c r="E69" s="11">
        <v>1</v>
      </c>
      <c r="F69" s="2">
        <v>8</v>
      </c>
      <c r="G69" s="12">
        <v>9</v>
      </c>
      <c r="H69" s="83" t="s">
        <v>83</v>
      </c>
      <c r="I69" s="12">
        <f t="shared" si="77"/>
        <v>0</v>
      </c>
      <c r="J69" s="92">
        <f t="shared" si="78"/>
        <v>0</v>
      </c>
      <c r="K69" s="93" t="s">
        <v>112</v>
      </c>
      <c r="L69" s="94">
        <f t="shared" si="79"/>
        <v>34</v>
      </c>
      <c r="M69" s="94">
        <f t="shared" si="80"/>
        <v>21</v>
      </c>
      <c r="N69" s="95">
        <f t="shared" si="81"/>
        <v>3</v>
      </c>
      <c r="O69" s="93">
        <f t="shared" ref="O69:O87" si="100">(IF(E69&lt;=6,"22",IF(E69&lt;=7,"18",IF(E69&lt;=8,"12",0))))+0</f>
        <v>22</v>
      </c>
      <c r="P69" s="94">
        <f t="shared" ref="P69:P87" si="101">(IF(E69&lt;=2,"21",IF(E69&lt;=3,"19",IF(E69&lt;=4,"15",IF(E69&lt;=5,"9",0)))))+0</f>
        <v>21</v>
      </c>
      <c r="Q69" s="94">
        <f t="shared" ref="Q69:Q87" si="102">(IF(E69&lt;=1,"3",0))+0</f>
        <v>3</v>
      </c>
      <c r="R69" s="94">
        <f t="shared" ref="R69:R87" si="103">(IF(F69&lt;=6,"22",IF(F69&lt;=7,"18",IF(F69&lt;=8,"12",0))))+0</f>
        <v>12</v>
      </c>
      <c r="S69" s="94">
        <f t="shared" ref="S69:S87" si="104">(IF(F69&lt;=2,"21",IF(F69&lt;=3,"19",IF(F69&lt;=4,"15",IF(F69&lt;=5,"9",0)))))+0</f>
        <v>0</v>
      </c>
      <c r="T69" s="94">
        <f t="shared" ref="T69:T87" si="105">(IF(F69&lt;=1,"3",0))+0</f>
        <v>0</v>
      </c>
      <c r="U69" s="94">
        <f t="shared" ref="U69:U87" si="106">(IF(G69&lt;=6,"22",IF(G69&lt;=7,"18",IF(G69&lt;=8,"12",0))))+0</f>
        <v>0</v>
      </c>
      <c r="V69" s="94">
        <f t="shared" ref="V69:V87" si="107">(IF(G69&lt;=2,"21",IF(G69&lt;=3,"19",IF(G69&lt;=4,"15",IF(G69&lt;=5,"9",0)))))+0</f>
        <v>0</v>
      </c>
      <c r="W69" s="95">
        <f t="shared" ref="W69:W87" si="108">(IF(G69&lt;=1,"3",0))+0</f>
        <v>0</v>
      </c>
      <c r="X69" s="10" t="s">
        <v>113</v>
      </c>
      <c r="Y69" s="1" t="s">
        <v>114</v>
      </c>
      <c r="Z69" s="1">
        <f t="shared" si="74"/>
        <v>4</v>
      </c>
      <c r="AA69" s="1">
        <f t="shared" si="75"/>
        <v>2</v>
      </c>
      <c r="AB69" s="1">
        <f t="shared" si="76"/>
        <v>0</v>
      </c>
      <c r="AC69" s="12">
        <f t="shared" si="82"/>
        <v>6</v>
      </c>
      <c r="AD69" s="1" t="s">
        <v>72</v>
      </c>
      <c r="AE69" s="2">
        <f t="shared" si="83"/>
        <v>0</v>
      </c>
      <c r="AF69" s="83" t="s">
        <v>80</v>
      </c>
      <c r="AG69" s="1">
        <f t="shared" si="84"/>
        <v>0</v>
      </c>
      <c r="AH69" s="1">
        <f t="shared" si="85"/>
        <v>0</v>
      </c>
      <c r="AI69" s="1">
        <f t="shared" si="86"/>
        <v>0</v>
      </c>
      <c r="AJ69" s="69">
        <f t="shared" si="87"/>
        <v>0</v>
      </c>
      <c r="AK69" s="83" t="s">
        <v>110</v>
      </c>
      <c r="AL69" s="1">
        <f t="shared" si="88"/>
        <v>0</v>
      </c>
      <c r="AM69" s="1">
        <f t="shared" si="89"/>
        <v>0</v>
      </c>
      <c r="AN69" s="1">
        <f t="shared" si="90"/>
        <v>0</v>
      </c>
      <c r="AO69" s="98">
        <f>Summary[[#This Row],[3*2]]+Summary[[#This Row],[3*22]]+Summary[[#This Row],[3*23]]</f>
        <v>28</v>
      </c>
      <c r="AP69" s="97">
        <f>Summary[[#This Row],[2*2]]+Summary[[#This Row],[2*23]]+Summary[[#This Row],[2*24]]</f>
        <v>22</v>
      </c>
      <c r="AQ69" s="97">
        <f>Summary[[#This Row],[1*2]]+Summary[[#This Row],[1*24]]+Summary[[#This Row],[1*25]]</f>
        <v>6</v>
      </c>
      <c r="AR69" s="97">
        <f t="shared" si="91"/>
        <v>19</v>
      </c>
      <c r="AS69" s="97">
        <f t="shared" si="92"/>
        <v>22</v>
      </c>
      <c r="AT69" s="97">
        <f t="shared" si="93"/>
        <v>6</v>
      </c>
      <c r="AU69" s="97">
        <f t="shared" si="94"/>
        <v>9</v>
      </c>
      <c r="AV69" s="97">
        <f t="shared" si="95"/>
        <v>0</v>
      </c>
      <c r="AW69" s="97">
        <f t="shared" si="96"/>
        <v>0</v>
      </c>
      <c r="AX69" s="97">
        <f t="shared" si="97"/>
        <v>0</v>
      </c>
      <c r="AY69" s="97">
        <f t="shared" si="98"/>
        <v>0</v>
      </c>
      <c r="AZ69" s="97">
        <f t="shared" si="99"/>
        <v>0</v>
      </c>
      <c r="BA69" s="83">
        <f>SUM(Summary[[#This Row],[3* (Tal)]],Summary[[#This Row],[3* (Asc)]])</f>
        <v>28</v>
      </c>
      <c r="BB69" s="1">
        <f>SUM(Summary[[#This Row],[2* (Tal)]],Summary[[#This Row],[2* (Asc)]])</f>
        <v>22</v>
      </c>
      <c r="BC69" s="69">
        <f>SUM(Summary[[#This Row],[1* (Tal)]],Summary[[#This Row],[1* (Asc)]])</f>
        <v>6</v>
      </c>
    </row>
    <row r="70" spans="1:55" x14ac:dyDescent="0.25">
      <c r="A70" s="86">
        <f>SUBTOTAL(3,$B$3:B70)</f>
        <v>68</v>
      </c>
      <c r="B70" s="88" t="s">
        <v>272</v>
      </c>
      <c r="C70" s="90" t="s">
        <v>252</v>
      </c>
      <c r="D70" s="16" t="s">
        <v>69</v>
      </c>
      <c r="E70" s="11" t="s">
        <v>69</v>
      </c>
      <c r="F70" s="2" t="s">
        <v>69</v>
      </c>
      <c r="G70" s="12" t="s">
        <v>69</v>
      </c>
      <c r="H70" s="83" t="s">
        <v>254</v>
      </c>
      <c r="I70" s="12">
        <f t="shared" si="77"/>
        <v>0</v>
      </c>
      <c r="J70" s="92">
        <f t="shared" si="78"/>
        <v>0</v>
      </c>
      <c r="K70" s="93" t="s">
        <v>112</v>
      </c>
      <c r="L70" s="94">
        <f t="shared" si="79"/>
        <v>0</v>
      </c>
      <c r="M70" s="94">
        <f t="shared" si="80"/>
        <v>0</v>
      </c>
      <c r="N70" s="95">
        <f t="shared" si="81"/>
        <v>0</v>
      </c>
      <c r="O70" s="93">
        <f t="shared" si="100"/>
        <v>0</v>
      </c>
      <c r="P70" s="94">
        <f t="shared" si="101"/>
        <v>0</v>
      </c>
      <c r="Q70" s="94">
        <f t="shared" si="102"/>
        <v>0</v>
      </c>
      <c r="R70" s="94">
        <f t="shared" si="103"/>
        <v>0</v>
      </c>
      <c r="S70" s="94">
        <f t="shared" si="104"/>
        <v>0</v>
      </c>
      <c r="T70" s="94">
        <f t="shared" si="105"/>
        <v>0</v>
      </c>
      <c r="U70" s="94">
        <f t="shared" si="106"/>
        <v>0</v>
      </c>
      <c r="V70" s="94">
        <f t="shared" si="107"/>
        <v>0</v>
      </c>
      <c r="W70" s="95">
        <f t="shared" si="108"/>
        <v>0</v>
      </c>
      <c r="X70" s="10" t="s">
        <v>136</v>
      </c>
      <c r="Y70" s="1" t="s">
        <v>155</v>
      </c>
      <c r="Z70" s="1">
        <f t="shared" si="74"/>
        <v>0</v>
      </c>
      <c r="AA70" s="1">
        <f t="shared" si="75"/>
        <v>0</v>
      </c>
      <c r="AB70" s="1">
        <f t="shared" si="76"/>
        <v>0</v>
      </c>
      <c r="AC70" s="12">
        <f t="shared" si="82"/>
        <v>0</v>
      </c>
      <c r="AD70" s="1" t="s">
        <v>273</v>
      </c>
      <c r="AE70" s="2">
        <f t="shared" si="83"/>
        <v>0</v>
      </c>
      <c r="AF70" s="83" t="s">
        <v>256</v>
      </c>
      <c r="AG70" s="1">
        <f t="shared" si="84"/>
        <v>0</v>
      </c>
      <c r="AH70" s="1">
        <f t="shared" si="85"/>
        <v>0</v>
      </c>
      <c r="AI70" s="1">
        <f t="shared" si="86"/>
        <v>0</v>
      </c>
      <c r="AJ70" s="69">
        <f t="shared" si="87"/>
        <v>0</v>
      </c>
      <c r="AK70" s="83" t="s">
        <v>179</v>
      </c>
      <c r="AL70" s="1">
        <f t="shared" si="88"/>
        <v>0</v>
      </c>
      <c r="AM70" s="1">
        <f t="shared" si="89"/>
        <v>0</v>
      </c>
      <c r="AN70" s="1">
        <f t="shared" si="90"/>
        <v>0</v>
      </c>
      <c r="AO70" s="98">
        <f>Summary[[#This Row],[3*2]]+Summary[[#This Row],[3*22]]+Summary[[#This Row],[3*23]]</f>
        <v>0</v>
      </c>
      <c r="AP70" s="97">
        <f>Summary[[#This Row],[2*2]]+Summary[[#This Row],[2*23]]+Summary[[#This Row],[2*24]]</f>
        <v>0</v>
      </c>
      <c r="AQ70" s="97">
        <f>Summary[[#This Row],[1*2]]+Summary[[#This Row],[1*24]]+Summary[[#This Row],[1*25]]</f>
        <v>0</v>
      </c>
      <c r="AR70" s="97">
        <f t="shared" si="91"/>
        <v>0</v>
      </c>
      <c r="AS70" s="97">
        <f t="shared" si="92"/>
        <v>0</v>
      </c>
      <c r="AT70" s="97">
        <f t="shared" si="93"/>
        <v>0</v>
      </c>
      <c r="AU70" s="97">
        <f t="shared" si="94"/>
        <v>0</v>
      </c>
      <c r="AV70" s="97">
        <f t="shared" si="95"/>
        <v>0</v>
      </c>
      <c r="AW70" s="97">
        <f t="shared" si="96"/>
        <v>0</v>
      </c>
      <c r="AX70" s="97">
        <f t="shared" si="97"/>
        <v>0</v>
      </c>
      <c r="AY70" s="97">
        <f t="shared" si="98"/>
        <v>0</v>
      </c>
      <c r="AZ70" s="97">
        <f t="shared" si="99"/>
        <v>0</v>
      </c>
      <c r="BA70" s="83">
        <f>SUM(Summary[[#This Row],[3* (Tal)]],Summary[[#This Row],[3* (Asc)]])</f>
        <v>0</v>
      </c>
      <c r="BB70" s="1">
        <f>SUM(Summary[[#This Row],[2* (Tal)]],Summary[[#This Row],[2* (Asc)]])</f>
        <v>0</v>
      </c>
      <c r="BC70" s="69">
        <f>SUM(Summary[[#This Row],[1* (Tal)]],Summary[[#This Row],[1* (Asc)]])</f>
        <v>0</v>
      </c>
    </row>
    <row r="71" spans="1:55" x14ac:dyDescent="0.25">
      <c r="A71" s="86">
        <f>SUBTOTAL(3,$B$3:B71)</f>
        <v>69</v>
      </c>
      <c r="B71" s="88" t="s">
        <v>291</v>
      </c>
      <c r="C71" s="90" t="s">
        <v>277</v>
      </c>
      <c r="D71" s="16">
        <v>21</v>
      </c>
      <c r="E71" s="11">
        <v>1</v>
      </c>
      <c r="F71" s="2">
        <v>1</v>
      </c>
      <c r="G71" s="12">
        <v>1</v>
      </c>
      <c r="H71" s="83" t="s">
        <v>292</v>
      </c>
      <c r="I71" s="12">
        <f t="shared" si="77"/>
        <v>46</v>
      </c>
      <c r="J71" s="92">
        <f t="shared" si="78"/>
        <v>402</v>
      </c>
      <c r="K71" s="93" t="s">
        <v>103</v>
      </c>
      <c r="L71" s="94">
        <f t="shared" si="79"/>
        <v>66</v>
      </c>
      <c r="M71" s="94">
        <f t="shared" si="80"/>
        <v>63</v>
      </c>
      <c r="N71" s="95">
        <f t="shared" si="81"/>
        <v>9</v>
      </c>
      <c r="O71" s="93">
        <f t="shared" si="100"/>
        <v>22</v>
      </c>
      <c r="P71" s="94">
        <f t="shared" si="101"/>
        <v>21</v>
      </c>
      <c r="Q71" s="94">
        <f t="shared" si="102"/>
        <v>3</v>
      </c>
      <c r="R71" s="94">
        <f t="shared" si="103"/>
        <v>22</v>
      </c>
      <c r="S71" s="94">
        <f t="shared" si="104"/>
        <v>21</v>
      </c>
      <c r="T71" s="94">
        <f t="shared" si="105"/>
        <v>3</v>
      </c>
      <c r="U71" s="94">
        <f t="shared" si="106"/>
        <v>22</v>
      </c>
      <c r="V71" s="94">
        <f t="shared" si="107"/>
        <v>21</v>
      </c>
      <c r="W71" s="95">
        <f t="shared" si="108"/>
        <v>3</v>
      </c>
      <c r="X71" s="10" t="s">
        <v>142</v>
      </c>
      <c r="Y71" s="1" t="s">
        <v>186</v>
      </c>
      <c r="Z71" s="1">
        <f t="shared" si="74"/>
        <v>4</v>
      </c>
      <c r="AA71" s="1">
        <f t="shared" si="75"/>
        <v>4</v>
      </c>
      <c r="AB71" s="1">
        <f t="shared" si="76"/>
        <v>4</v>
      </c>
      <c r="AC71" s="12">
        <f t="shared" si="82"/>
        <v>12</v>
      </c>
      <c r="AD71" s="1" t="s">
        <v>293</v>
      </c>
      <c r="AE71" s="2">
        <f t="shared" si="83"/>
        <v>165</v>
      </c>
      <c r="AF71" s="83" t="s">
        <v>280</v>
      </c>
      <c r="AG71" s="1">
        <f t="shared" si="84"/>
        <v>6</v>
      </c>
      <c r="AH71" s="1">
        <f t="shared" si="85"/>
        <v>9</v>
      </c>
      <c r="AI71" s="1">
        <f t="shared" si="86"/>
        <v>9</v>
      </c>
      <c r="AJ71" s="69">
        <f t="shared" si="87"/>
        <v>0</v>
      </c>
      <c r="AK71" s="83" t="s">
        <v>93</v>
      </c>
      <c r="AL71" s="1">
        <f t="shared" si="88"/>
        <v>36</v>
      </c>
      <c r="AM71" s="1">
        <f t="shared" si="89"/>
        <v>30</v>
      </c>
      <c r="AN71" s="1">
        <f t="shared" si="90"/>
        <v>15</v>
      </c>
      <c r="AO71" s="98">
        <f>Summary[[#This Row],[3*2]]+Summary[[#This Row],[3*22]]+Summary[[#This Row],[3*23]]</f>
        <v>57</v>
      </c>
      <c r="AP71" s="97">
        <f>Summary[[#This Row],[2*2]]+Summary[[#This Row],[2*23]]+Summary[[#This Row],[2*24]]</f>
        <v>66</v>
      </c>
      <c r="AQ71" s="97">
        <f>Summary[[#This Row],[1*2]]+Summary[[#This Row],[1*24]]+Summary[[#This Row],[1*25]]</f>
        <v>18</v>
      </c>
      <c r="AR71" s="97">
        <f t="shared" si="91"/>
        <v>19</v>
      </c>
      <c r="AS71" s="97">
        <f t="shared" si="92"/>
        <v>22</v>
      </c>
      <c r="AT71" s="97">
        <f t="shared" si="93"/>
        <v>6</v>
      </c>
      <c r="AU71" s="97">
        <f t="shared" si="94"/>
        <v>19</v>
      </c>
      <c r="AV71" s="97">
        <f t="shared" si="95"/>
        <v>22</v>
      </c>
      <c r="AW71" s="97">
        <f t="shared" si="96"/>
        <v>6</v>
      </c>
      <c r="AX71" s="97">
        <f t="shared" si="97"/>
        <v>19</v>
      </c>
      <c r="AY71" s="97">
        <f t="shared" si="98"/>
        <v>22</v>
      </c>
      <c r="AZ71" s="97">
        <f t="shared" si="99"/>
        <v>6</v>
      </c>
      <c r="BA71" s="83">
        <f>SUM(Summary[[#This Row],[3* (Tal)]],Summary[[#This Row],[3* (Asc)]])</f>
        <v>93</v>
      </c>
      <c r="BB71" s="1">
        <f>SUM(Summary[[#This Row],[2* (Tal)]],Summary[[#This Row],[2* (Asc)]])</f>
        <v>96</v>
      </c>
      <c r="BC71" s="69">
        <f>SUM(Summary[[#This Row],[1* (Tal)]],Summary[[#This Row],[1* (Asc)]])</f>
        <v>33</v>
      </c>
    </row>
    <row r="72" spans="1:55" x14ac:dyDescent="0.25">
      <c r="A72" s="86">
        <f>SUBTOTAL(3,$B$3:B72)</f>
        <v>70</v>
      </c>
      <c r="B72" s="88" t="s">
        <v>208</v>
      </c>
      <c r="C72" s="90" t="s">
        <v>190</v>
      </c>
      <c r="D72" s="16">
        <v>22</v>
      </c>
      <c r="E72" s="11">
        <v>1</v>
      </c>
      <c r="F72" s="2">
        <v>1</v>
      </c>
      <c r="G72" s="12">
        <v>1</v>
      </c>
      <c r="H72" s="83" t="s">
        <v>199</v>
      </c>
      <c r="I72" s="12">
        <f t="shared" si="77"/>
        <v>46</v>
      </c>
      <c r="J72" s="92">
        <f t="shared" si="78"/>
        <v>402</v>
      </c>
      <c r="K72" s="93" t="s">
        <v>77</v>
      </c>
      <c r="L72" s="94">
        <f t="shared" si="79"/>
        <v>66</v>
      </c>
      <c r="M72" s="94">
        <f t="shared" si="80"/>
        <v>63</v>
      </c>
      <c r="N72" s="95">
        <f t="shared" si="81"/>
        <v>9</v>
      </c>
      <c r="O72" s="93">
        <f t="shared" si="100"/>
        <v>22</v>
      </c>
      <c r="P72" s="94">
        <f t="shared" si="101"/>
        <v>21</v>
      </c>
      <c r="Q72" s="94">
        <f t="shared" si="102"/>
        <v>3</v>
      </c>
      <c r="R72" s="94">
        <f t="shared" si="103"/>
        <v>22</v>
      </c>
      <c r="S72" s="94">
        <f t="shared" si="104"/>
        <v>21</v>
      </c>
      <c r="T72" s="94">
        <f t="shared" si="105"/>
        <v>3</v>
      </c>
      <c r="U72" s="94">
        <f t="shared" si="106"/>
        <v>22</v>
      </c>
      <c r="V72" s="94">
        <f t="shared" si="107"/>
        <v>21</v>
      </c>
      <c r="W72" s="95">
        <f t="shared" si="108"/>
        <v>3</v>
      </c>
      <c r="X72" s="10" t="s">
        <v>104</v>
      </c>
      <c r="Y72" s="1" t="s">
        <v>105</v>
      </c>
      <c r="Z72" s="1">
        <f t="shared" si="74"/>
        <v>4</v>
      </c>
      <c r="AA72" s="1">
        <f t="shared" si="75"/>
        <v>4</v>
      </c>
      <c r="AB72" s="1">
        <f t="shared" si="76"/>
        <v>4</v>
      </c>
      <c r="AC72" s="12">
        <f t="shared" si="82"/>
        <v>12</v>
      </c>
      <c r="AD72" s="1" t="s">
        <v>175</v>
      </c>
      <c r="AE72" s="2">
        <f t="shared" si="83"/>
        <v>165</v>
      </c>
      <c r="AF72" s="83" t="s">
        <v>194</v>
      </c>
      <c r="AG72" s="1">
        <f t="shared" si="84"/>
        <v>6</v>
      </c>
      <c r="AH72" s="1">
        <f t="shared" si="85"/>
        <v>9</v>
      </c>
      <c r="AI72" s="1">
        <f t="shared" si="86"/>
        <v>9</v>
      </c>
      <c r="AJ72" s="69">
        <f t="shared" si="87"/>
        <v>0</v>
      </c>
      <c r="AK72" s="83" t="s">
        <v>197</v>
      </c>
      <c r="AL72" s="1">
        <f t="shared" si="88"/>
        <v>36</v>
      </c>
      <c r="AM72" s="1">
        <f t="shared" si="89"/>
        <v>30</v>
      </c>
      <c r="AN72" s="1">
        <f t="shared" si="90"/>
        <v>15</v>
      </c>
      <c r="AO72" s="98">
        <f>Summary[[#This Row],[3*2]]+Summary[[#This Row],[3*22]]+Summary[[#This Row],[3*23]]</f>
        <v>57</v>
      </c>
      <c r="AP72" s="97">
        <f>Summary[[#This Row],[2*2]]+Summary[[#This Row],[2*23]]+Summary[[#This Row],[2*24]]</f>
        <v>66</v>
      </c>
      <c r="AQ72" s="97">
        <f>Summary[[#This Row],[1*2]]+Summary[[#This Row],[1*24]]+Summary[[#This Row],[1*25]]</f>
        <v>18</v>
      </c>
      <c r="AR72" s="97">
        <f t="shared" si="91"/>
        <v>19</v>
      </c>
      <c r="AS72" s="97">
        <f t="shared" si="92"/>
        <v>22</v>
      </c>
      <c r="AT72" s="97">
        <f t="shared" si="93"/>
        <v>6</v>
      </c>
      <c r="AU72" s="97">
        <f t="shared" si="94"/>
        <v>19</v>
      </c>
      <c r="AV72" s="97">
        <f t="shared" si="95"/>
        <v>22</v>
      </c>
      <c r="AW72" s="97">
        <f t="shared" si="96"/>
        <v>6</v>
      </c>
      <c r="AX72" s="97">
        <f t="shared" si="97"/>
        <v>19</v>
      </c>
      <c r="AY72" s="97">
        <f t="shared" si="98"/>
        <v>22</v>
      </c>
      <c r="AZ72" s="97">
        <f t="shared" si="99"/>
        <v>6</v>
      </c>
      <c r="BA72" s="83">
        <f>SUM(Summary[[#This Row],[3* (Tal)]],Summary[[#This Row],[3* (Asc)]])</f>
        <v>93</v>
      </c>
      <c r="BB72" s="1">
        <f>SUM(Summary[[#This Row],[2* (Tal)]],Summary[[#This Row],[2* (Asc)]])</f>
        <v>96</v>
      </c>
      <c r="BC72" s="69">
        <f>SUM(Summary[[#This Row],[1* (Tal)]],Summary[[#This Row],[1* (Asc)]])</f>
        <v>33</v>
      </c>
    </row>
    <row r="73" spans="1:55" x14ac:dyDescent="0.25">
      <c r="A73" s="86">
        <f>SUBTOTAL(3,$B$3:B73)</f>
        <v>71</v>
      </c>
      <c r="B73" s="88" t="s">
        <v>115</v>
      </c>
      <c r="C73" s="90" t="s">
        <v>67</v>
      </c>
      <c r="D73" s="16">
        <v>90</v>
      </c>
      <c r="E73" s="11">
        <v>1</v>
      </c>
      <c r="F73" s="2">
        <v>9</v>
      </c>
      <c r="G73" s="12">
        <v>9</v>
      </c>
      <c r="H73" s="83" t="s">
        <v>83</v>
      </c>
      <c r="I73" s="12">
        <f t="shared" si="77"/>
        <v>0</v>
      </c>
      <c r="J73" s="92">
        <f t="shared" si="78"/>
        <v>0</v>
      </c>
      <c r="K73" s="93" t="s">
        <v>116</v>
      </c>
      <c r="L73" s="94">
        <f t="shared" si="79"/>
        <v>22</v>
      </c>
      <c r="M73" s="94">
        <f t="shared" si="80"/>
        <v>21</v>
      </c>
      <c r="N73" s="95">
        <f t="shared" si="81"/>
        <v>3</v>
      </c>
      <c r="O73" s="93">
        <f t="shared" si="100"/>
        <v>22</v>
      </c>
      <c r="P73" s="94">
        <f t="shared" si="101"/>
        <v>21</v>
      </c>
      <c r="Q73" s="94">
        <f t="shared" si="102"/>
        <v>3</v>
      </c>
      <c r="R73" s="94">
        <f t="shared" si="103"/>
        <v>0</v>
      </c>
      <c r="S73" s="94">
        <f t="shared" si="104"/>
        <v>0</v>
      </c>
      <c r="T73" s="94">
        <f t="shared" si="105"/>
        <v>0</v>
      </c>
      <c r="U73" s="94">
        <f t="shared" si="106"/>
        <v>0</v>
      </c>
      <c r="V73" s="94">
        <f t="shared" si="107"/>
        <v>0</v>
      </c>
      <c r="W73" s="95">
        <f t="shared" si="108"/>
        <v>0</v>
      </c>
      <c r="X73" s="10" t="s">
        <v>113</v>
      </c>
      <c r="Y73" s="1" t="s">
        <v>117</v>
      </c>
      <c r="Z73" s="1">
        <f t="shared" si="74"/>
        <v>4</v>
      </c>
      <c r="AA73" s="1">
        <f t="shared" si="75"/>
        <v>0</v>
      </c>
      <c r="AB73" s="1">
        <f t="shared" si="76"/>
        <v>0</v>
      </c>
      <c r="AC73" s="12">
        <f t="shared" si="82"/>
        <v>4</v>
      </c>
      <c r="AD73" s="1" t="s">
        <v>118</v>
      </c>
      <c r="AE73" s="2">
        <f t="shared" si="83"/>
        <v>0</v>
      </c>
      <c r="AF73" s="83" t="s">
        <v>80</v>
      </c>
      <c r="AG73" s="1">
        <f t="shared" si="84"/>
        <v>0</v>
      </c>
      <c r="AH73" s="1">
        <f t="shared" si="85"/>
        <v>0</v>
      </c>
      <c r="AI73" s="1">
        <f t="shared" si="86"/>
        <v>0</v>
      </c>
      <c r="AJ73" s="69">
        <f t="shared" si="87"/>
        <v>0</v>
      </c>
      <c r="AK73" s="83" t="s">
        <v>119</v>
      </c>
      <c r="AL73" s="1">
        <f t="shared" si="88"/>
        <v>0</v>
      </c>
      <c r="AM73" s="1">
        <f t="shared" si="89"/>
        <v>0</v>
      </c>
      <c r="AN73" s="1">
        <f t="shared" si="90"/>
        <v>0</v>
      </c>
      <c r="AO73" s="98">
        <f>Summary[[#This Row],[3*2]]+Summary[[#This Row],[3*22]]+Summary[[#This Row],[3*23]]</f>
        <v>19</v>
      </c>
      <c r="AP73" s="97">
        <f>Summary[[#This Row],[2*2]]+Summary[[#This Row],[2*23]]+Summary[[#This Row],[2*24]]</f>
        <v>22</v>
      </c>
      <c r="AQ73" s="97">
        <f>Summary[[#This Row],[1*2]]+Summary[[#This Row],[1*24]]+Summary[[#This Row],[1*25]]</f>
        <v>6</v>
      </c>
      <c r="AR73" s="97">
        <f t="shared" si="91"/>
        <v>19</v>
      </c>
      <c r="AS73" s="97">
        <f t="shared" si="92"/>
        <v>22</v>
      </c>
      <c r="AT73" s="97">
        <f t="shared" si="93"/>
        <v>6</v>
      </c>
      <c r="AU73" s="97">
        <f t="shared" si="94"/>
        <v>0</v>
      </c>
      <c r="AV73" s="97">
        <f t="shared" si="95"/>
        <v>0</v>
      </c>
      <c r="AW73" s="97">
        <f t="shared" si="96"/>
        <v>0</v>
      </c>
      <c r="AX73" s="97">
        <f t="shared" si="97"/>
        <v>0</v>
      </c>
      <c r="AY73" s="97">
        <f t="shared" si="98"/>
        <v>0</v>
      </c>
      <c r="AZ73" s="97">
        <f t="shared" si="99"/>
        <v>0</v>
      </c>
      <c r="BA73" s="83">
        <f>SUM(Summary[[#This Row],[3* (Tal)]],Summary[[#This Row],[3* (Asc)]])</f>
        <v>19</v>
      </c>
      <c r="BB73" s="1">
        <f>SUM(Summary[[#This Row],[2* (Tal)]],Summary[[#This Row],[2* (Asc)]])</f>
        <v>22</v>
      </c>
      <c r="BC73" s="69">
        <f>SUM(Summary[[#This Row],[1* (Tal)]],Summary[[#This Row],[1* (Asc)]])</f>
        <v>6</v>
      </c>
    </row>
    <row r="74" spans="1:55" x14ac:dyDescent="0.25">
      <c r="A74" s="86">
        <f>SUBTOTAL(3,$B$3:B74)</f>
        <v>72</v>
      </c>
      <c r="B74" s="88" t="s">
        <v>120</v>
      </c>
      <c r="C74" s="90" t="s">
        <v>67</v>
      </c>
      <c r="D74" s="16">
        <v>90</v>
      </c>
      <c r="E74" s="11">
        <v>10</v>
      </c>
      <c r="F74" s="2">
        <v>10</v>
      </c>
      <c r="G74" s="12">
        <v>10</v>
      </c>
      <c r="H74" s="83" t="s">
        <v>121</v>
      </c>
      <c r="I74" s="12">
        <f t="shared" si="77"/>
        <v>0</v>
      </c>
      <c r="J74" s="92">
        <f t="shared" si="78"/>
        <v>0</v>
      </c>
      <c r="K74" s="93" t="s">
        <v>122</v>
      </c>
      <c r="L74" s="94">
        <f t="shared" si="79"/>
        <v>0</v>
      </c>
      <c r="M74" s="94">
        <f t="shared" si="80"/>
        <v>0</v>
      </c>
      <c r="N74" s="95">
        <f t="shared" si="81"/>
        <v>0</v>
      </c>
      <c r="O74" s="93">
        <f t="shared" si="100"/>
        <v>0</v>
      </c>
      <c r="P74" s="94">
        <f t="shared" si="101"/>
        <v>0</v>
      </c>
      <c r="Q74" s="94">
        <f t="shared" si="102"/>
        <v>0</v>
      </c>
      <c r="R74" s="94">
        <f t="shared" si="103"/>
        <v>0</v>
      </c>
      <c r="S74" s="94">
        <f t="shared" si="104"/>
        <v>0</v>
      </c>
      <c r="T74" s="94">
        <f t="shared" si="105"/>
        <v>0</v>
      </c>
      <c r="U74" s="94">
        <f t="shared" si="106"/>
        <v>0</v>
      </c>
      <c r="V74" s="94">
        <f t="shared" si="107"/>
        <v>0</v>
      </c>
      <c r="W74" s="95">
        <f t="shared" si="108"/>
        <v>0</v>
      </c>
      <c r="X74" s="10" t="s">
        <v>78</v>
      </c>
      <c r="Y74" s="1" t="s">
        <v>123</v>
      </c>
      <c r="Z74" s="1">
        <f t="shared" ref="Z74:Z87" si="109">(IF(E74&lt;=6,"4",IF(E74&lt;=7,"3",IF(E74&lt;=8,"2","0"))))+0</f>
        <v>0</v>
      </c>
      <c r="AA74" s="1">
        <f t="shared" ref="AA74:AA87" si="110">(IF(F74&lt;=6,"4",IF(F74&lt;=7,"3",IF(F74&lt;=8,"2","0"))))+0</f>
        <v>0</v>
      </c>
      <c r="AB74" s="1">
        <f t="shared" ref="AB74:AB87" si="111">(IF(G74&lt;=6,"4",IF(G74&lt;=7,"3",IF(G74&lt;=8,"2","0"))))+0</f>
        <v>0</v>
      </c>
      <c r="AC74" s="12">
        <f t="shared" si="82"/>
        <v>0</v>
      </c>
      <c r="AD74" s="1" t="s">
        <v>124</v>
      </c>
      <c r="AE74" s="2">
        <f t="shared" si="83"/>
        <v>0</v>
      </c>
      <c r="AF74" s="83" t="s">
        <v>80</v>
      </c>
      <c r="AG74" s="1">
        <f t="shared" si="84"/>
        <v>0</v>
      </c>
      <c r="AH74" s="1">
        <f t="shared" si="85"/>
        <v>0</v>
      </c>
      <c r="AI74" s="1">
        <f t="shared" si="86"/>
        <v>0</v>
      </c>
      <c r="AJ74" s="69">
        <f t="shared" si="87"/>
        <v>0</v>
      </c>
      <c r="AK74" s="83" t="s">
        <v>125</v>
      </c>
      <c r="AL74" s="1">
        <f t="shared" si="88"/>
        <v>0</v>
      </c>
      <c r="AM74" s="1">
        <f t="shared" si="89"/>
        <v>0</v>
      </c>
      <c r="AN74" s="1">
        <f t="shared" si="90"/>
        <v>0</v>
      </c>
      <c r="AO74" s="98">
        <f>Summary[[#This Row],[3*2]]+Summary[[#This Row],[3*22]]+Summary[[#This Row],[3*23]]</f>
        <v>0</v>
      </c>
      <c r="AP74" s="97">
        <f>Summary[[#This Row],[2*2]]+Summary[[#This Row],[2*23]]+Summary[[#This Row],[2*24]]</f>
        <v>0</v>
      </c>
      <c r="AQ74" s="97">
        <f>Summary[[#This Row],[1*2]]+Summary[[#This Row],[1*24]]+Summary[[#This Row],[1*25]]</f>
        <v>0</v>
      </c>
      <c r="AR74" s="97">
        <f t="shared" si="91"/>
        <v>0</v>
      </c>
      <c r="AS74" s="97">
        <f t="shared" si="92"/>
        <v>0</v>
      </c>
      <c r="AT74" s="97">
        <f t="shared" si="93"/>
        <v>0</v>
      </c>
      <c r="AU74" s="97">
        <f t="shared" si="94"/>
        <v>0</v>
      </c>
      <c r="AV74" s="97">
        <f t="shared" si="95"/>
        <v>0</v>
      </c>
      <c r="AW74" s="97">
        <f t="shared" si="96"/>
        <v>0</v>
      </c>
      <c r="AX74" s="97">
        <f t="shared" si="97"/>
        <v>0</v>
      </c>
      <c r="AY74" s="97">
        <f t="shared" si="98"/>
        <v>0</v>
      </c>
      <c r="AZ74" s="97">
        <f t="shared" si="99"/>
        <v>0</v>
      </c>
      <c r="BA74" s="83">
        <f>SUM(Summary[[#This Row],[3* (Tal)]],Summary[[#This Row],[3* (Asc)]])</f>
        <v>0</v>
      </c>
      <c r="BB74" s="1">
        <f>SUM(Summary[[#This Row],[2* (Tal)]],Summary[[#This Row],[2* (Asc)]])</f>
        <v>0</v>
      </c>
      <c r="BC74" s="69">
        <f>SUM(Summary[[#This Row],[1* (Tal)]],Summary[[#This Row],[1* (Asc)]])</f>
        <v>0</v>
      </c>
    </row>
    <row r="75" spans="1:55" x14ac:dyDescent="0.25">
      <c r="A75" s="86">
        <f>SUBTOTAL(3,$B$3:B75)</f>
        <v>73</v>
      </c>
      <c r="B75" s="88" t="s">
        <v>187</v>
      </c>
      <c r="C75" s="90" t="s">
        <v>139</v>
      </c>
      <c r="D75" s="16" t="s">
        <v>69</v>
      </c>
      <c r="E75" s="11" t="s">
        <v>69</v>
      </c>
      <c r="F75" s="2" t="s">
        <v>69</v>
      </c>
      <c r="G75" s="12" t="s">
        <v>69</v>
      </c>
      <c r="H75" s="83" t="s">
        <v>147</v>
      </c>
      <c r="I75" s="12">
        <f t="shared" si="77"/>
        <v>0</v>
      </c>
      <c r="J75" s="92">
        <f t="shared" si="78"/>
        <v>0</v>
      </c>
      <c r="K75" s="93" t="s">
        <v>96</v>
      </c>
      <c r="L75" s="94">
        <f t="shared" si="79"/>
        <v>0</v>
      </c>
      <c r="M75" s="94">
        <f t="shared" si="80"/>
        <v>0</v>
      </c>
      <c r="N75" s="95">
        <f t="shared" si="81"/>
        <v>0</v>
      </c>
      <c r="O75" s="93">
        <f t="shared" si="100"/>
        <v>0</v>
      </c>
      <c r="P75" s="94">
        <f t="shared" si="101"/>
        <v>0</v>
      </c>
      <c r="Q75" s="94">
        <f t="shared" si="102"/>
        <v>0</v>
      </c>
      <c r="R75" s="94">
        <f t="shared" si="103"/>
        <v>0</v>
      </c>
      <c r="S75" s="94">
        <f t="shared" si="104"/>
        <v>0</v>
      </c>
      <c r="T75" s="94">
        <f t="shared" si="105"/>
        <v>0</v>
      </c>
      <c r="U75" s="94">
        <f t="shared" si="106"/>
        <v>0</v>
      </c>
      <c r="V75" s="94">
        <f t="shared" si="107"/>
        <v>0</v>
      </c>
      <c r="W75" s="95">
        <f t="shared" si="108"/>
        <v>0</v>
      </c>
      <c r="X75" s="10" t="s">
        <v>97</v>
      </c>
      <c r="Y75" s="1" t="s">
        <v>188</v>
      </c>
      <c r="Z75" s="1">
        <f t="shared" si="109"/>
        <v>0</v>
      </c>
      <c r="AA75" s="1">
        <f t="shared" si="110"/>
        <v>0</v>
      </c>
      <c r="AB75" s="1">
        <f t="shared" si="111"/>
        <v>0</v>
      </c>
      <c r="AC75" s="12">
        <f t="shared" si="82"/>
        <v>0</v>
      </c>
      <c r="AD75" s="1" t="s">
        <v>189</v>
      </c>
      <c r="AE75" s="2">
        <f t="shared" si="83"/>
        <v>0</v>
      </c>
      <c r="AF75" s="83" t="s">
        <v>144</v>
      </c>
      <c r="AG75" s="1">
        <f t="shared" si="84"/>
        <v>0</v>
      </c>
      <c r="AH75" s="1">
        <f t="shared" si="85"/>
        <v>0</v>
      </c>
      <c r="AI75" s="1">
        <f t="shared" si="86"/>
        <v>0</v>
      </c>
      <c r="AJ75" s="69">
        <f t="shared" si="87"/>
        <v>0</v>
      </c>
      <c r="AK75" s="83" t="s">
        <v>100</v>
      </c>
      <c r="AL75" s="1">
        <f t="shared" si="88"/>
        <v>0</v>
      </c>
      <c r="AM75" s="1">
        <f t="shared" si="89"/>
        <v>0</v>
      </c>
      <c r="AN75" s="1">
        <f t="shared" si="90"/>
        <v>0</v>
      </c>
      <c r="AO75" s="98">
        <f>Summary[[#This Row],[3*2]]+Summary[[#This Row],[3*22]]+Summary[[#This Row],[3*23]]</f>
        <v>0</v>
      </c>
      <c r="AP75" s="97">
        <f>Summary[[#This Row],[2*2]]+Summary[[#This Row],[2*23]]+Summary[[#This Row],[2*24]]</f>
        <v>0</v>
      </c>
      <c r="AQ75" s="97">
        <f>Summary[[#This Row],[1*2]]+Summary[[#This Row],[1*24]]+Summary[[#This Row],[1*25]]</f>
        <v>0</v>
      </c>
      <c r="AR75" s="97">
        <f t="shared" si="91"/>
        <v>0</v>
      </c>
      <c r="AS75" s="97">
        <f t="shared" si="92"/>
        <v>0</v>
      </c>
      <c r="AT75" s="97">
        <f t="shared" si="93"/>
        <v>0</v>
      </c>
      <c r="AU75" s="97">
        <f t="shared" si="94"/>
        <v>0</v>
      </c>
      <c r="AV75" s="97">
        <f t="shared" si="95"/>
        <v>0</v>
      </c>
      <c r="AW75" s="97">
        <f t="shared" si="96"/>
        <v>0</v>
      </c>
      <c r="AX75" s="97">
        <f t="shared" si="97"/>
        <v>0</v>
      </c>
      <c r="AY75" s="97">
        <f t="shared" si="98"/>
        <v>0</v>
      </c>
      <c r="AZ75" s="97">
        <f t="shared" si="99"/>
        <v>0</v>
      </c>
      <c r="BA75" s="83">
        <f>SUM(Summary[[#This Row],[3* (Tal)]],Summary[[#This Row],[3* (Asc)]])</f>
        <v>0</v>
      </c>
      <c r="BB75" s="1">
        <f>SUM(Summary[[#This Row],[2* (Tal)]],Summary[[#This Row],[2* (Asc)]])</f>
        <v>0</v>
      </c>
      <c r="BC75" s="69">
        <f>SUM(Summary[[#This Row],[1* (Tal)]],Summary[[#This Row],[1* (Asc)]])</f>
        <v>0</v>
      </c>
    </row>
    <row r="76" spans="1:55" x14ac:dyDescent="0.25">
      <c r="A76" s="86">
        <f>SUBTOTAL(3,$B$3:B76)</f>
        <v>74</v>
      </c>
      <c r="B76" s="88" t="s">
        <v>294</v>
      </c>
      <c r="C76" s="90" t="s">
        <v>277</v>
      </c>
      <c r="D76" s="16">
        <v>90</v>
      </c>
      <c r="E76" s="11">
        <v>1</v>
      </c>
      <c r="F76" s="2">
        <v>9</v>
      </c>
      <c r="G76" s="12">
        <v>9</v>
      </c>
      <c r="H76" s="83" t="s">
        <v>279</v>
      </c>
      <c r="I76" s="12">
        <f t="shared" si="77"/>
        <v>0</v>
      </c>
      <c r="J76" s="92">
        <f t="shared" si="78"/>
        <v>0</v>
      </c>
      <c r="K76" s="93" t="s">
        <v>89</v>
      </c>
      <c r="L76" s="94">
        <f t="shared" si="79"/>
        <v>22</v>
      </c>
      <c r="M76" s="94">
        <f t="shared" si="80"/>
        <v>21</v>
      </c>
      <c r="N76" s="95">
        <f t="shared" si="81"/>
        <v>3</v>
      </c>
      <c r="O76" s="93">
        <f t="shared" si="100"/>
        <v>22</v>
      </c>
      <c r="P76" s="94">
        <f t="shared" si="101"/>
        <v>21</v>
      </c>
      <c r="Q76" s="94">
        <f t="shared" si="102"/>
        <v>3</v>
      </c>
      <c r="R76" s="94">
        <f t="shared" si="103"/>
        <v>0</v>
      </c>
      <c r="S76" s="94">
        <f t="shared" si="104"/>
        <v>0</v>
      </c>
      <c r="T76" s="94">
        <f t="shared" si="105"/>
        <v>0</v>
      </c>
      <c r="U76" s="94">
        <f t="shared" si="106"/>
        <v>0</v>
      </c>
      <c r="V76" s="94">
        <f t="shared" si="107"/>
        <v>0</v>
      </c>
      <c r="W76" s="95">
        <f t="shared" si="108"/>
        <v>0</v>
      </c>
      <c r="X76" s="10" t="s">
        <v>70</v>
      </c>
      <c r="Y76" s="1" t="s">
        <v>231</v>
      </c>
      <c r="Z76" s="1">
        <f t="shared" si="109"/>
        <v>4</v>
      </c>
      <c r="AA76" s="1">
        <f t="shared" si="110"/>
        <v>0</v>
      </c>
      <c r="AB76" s="1">
        <f t="shared" si="111"/>
        <v>0</v>
      </c>
      <c r="AC76" s="12">
        <f t="shared" si="82"/>
        <v>4</v>
      </c>
      <c r="AD76" s="1" t="s">
        <v>210</v>
      </c>
      <c r="AE76" s="2">
        <f t="shared" si="83"/>
        <v>0</v>
      </c>
      <c r="AF76" s="83" t="s">
        <v>280</v>
      </c>
      <c r="AG76" s="1">
        <f t="shared" si="84"/>
        <v>0</v>
      </c>
      <c r="AH76" s="1">
        <f t="shared" si="85"/>
        <v>0</v>
      </c>
      <c r="AI76" s="1">
        <f t="shared" si="86"/>
        <v>0</v>
      </c>
      <c r="AJ76" s="69">
        <f t="shared" si="87"/>
        <v>0</v>
      </c>
      <c r="AK76" s="83" t="s">
        <v>119</v>
      </c>
      <c r="AL76" s="1">
        <f t="shared" si="88"/>
        <v>0</v>
      </c>
      <c r="AM76" s="1">
        <f t="shared" si="89"/>
        <v>0</v>
      </c>
      <c r="AN76" s="1">
        <f t="shared" si="90"/>
        <v>0</v>
      </c>
      <c r="AO76" s="98">
        <f>Summary[[#This Row],[3*2]]+Summary[[#This Row],[3*22]]+Summary[[#This Row],[3*23]]</f>
        <v>19</v>
      </c>
      <c r="AP76" s="97">
        <f>Summary[[#This Row],[2*2]]+Summary[[#This Row],[2*23]]+Summary[[#This Row],[2*24]]</f>
        <v>22</v>
      </c>
      <c r="AQ76" s="97">
        <f>Summary[[#This Row],[1*2]]+Summary[[#This Row],[1*24]]+Summary[[#This Row],[1*25]]</f>
        <v>6</v>
      </c>
      <c r="AR76" s="97">
        <f t="shared" si="91"/>
        <v>19</v>
      </c>
      <c r="AS76" s="97">
        <f t="shared" si="92"/>
        <v>22</v>
      </c>
      <c r="AT76" s="97">
        <f t="shared" si="93"/>
        <v>6</v>
      </c>
      <c r="AU76" s="97">
        <f t="shared" si="94"/>
        <v>0</v>
      </c>
      <c r="AV76" s="97">
        <f t="shared" si="95"/>
        <v>0</v>
      </c>
      <c r="AW76" s="97">
        <f t="shared" si="96"/>
        <v>0</v>
      </c>
      <c r="AX76" s="97">
        <f t="shared" si="97"/>
        <v>0</v>
      </c>
      <c r="AY76" s="97">
        <f t="shared" si="98"/>
        <v>0</v>
      </c>
      <c r="AZ76" s="97">
        <f t="shared" si="99"/>
        <v>0</v>
      </c>
      <c r="BA76" s="83">
        <f>SUM(Summary[[#This Row],[3* (Tal)]],Summary[[#This Row],[3* (Asc)]])</f>
        <v>19</v>
      </c>
      <c r="BB76" s="1">
        <f>SUM(Summary[[#This Row],[2* (Tal)]],Summary[[#This Row],[2* (Asc)]])</f>
        <v>22</v>
      </c>
      <c r="BC76" s="69">
        <f>SUM(Summary[[#This Row],[1* (Tal)]],Summary[[#This Row],[1* (Asc)]])</f>
        <v>6</v>
      </c>
    </row>
    <row r="77" spans="1:55" x14ac:dyDescent="0.25">
      <c r="A77" s="16">
        <f>SUBTOTAL(3,$B$3:B77)</f>
        <v>75</v>
      </c>
      <c r="B77" s="88" t="s">
        <v>126</v>
      </c>
      <c r="C77" s="90" t="s">
        <v>67</v>
      </c>
      <c r="D77" s="16">
        <v>80</v>
      </c>
      <c r="E77" s="11">
        <v>1</v>
      </c>
      <c r="F77" s="2">
        <v>1</v>
      </c>
      <c r="G77" s="12">
        <v>1</v>
      </c>
      <c r="H77" s="83" t="s">
        <v>127</v>
      </c>
      <c r="I77" s="12">
        <f t="shared" si="77"/>
        <v>20</v>
      </c>
      <c r="J77" s="92">
        <f t="shared" si="78"/>
        <v>172</v>
      </c>
      <c r="K77" s="93" t="s">
        <v>128</v>
      </c>
      <c r="L77" s="94">
        <f t="shared" si="79"/>
        <v>66</v>
      </c>
      <c r="M77" s="94">
        <f t="shared" si="80"/>
        <v>63</v>
      </c>
      <c r="N77" s="95">
        <f t="shared" si="81"/>
        <v>9</v>
      </c>
      <c r="O77" s="93">
        <f t="shared" si="100"/>
        <v>22</v>
      </c>
      <c r="P77" s="94">
        <f t="shared" si="101"/>
        <v>21</v>
      </c>
      <c r="Q77" s="94">
        <f t="shared" si="102"/>
        <v>3</v>
      </c>
      <c r="R77" s="94">
        <f t="shared" si="103"/>
        <v>22</v>
      </c>
      <c r="S77" s="94">
        <f t="shared" si="104"/>
        <v>21</v>
      </c>
      <c r="T77" s="94">
        <f t="shared" si="105"/>
        <v>3</v>
      </c>
      <c r="U77" s="94">
        <f t="shared" si="106"/>
        <v>22</v>
      </c>
      <c r="V77" s="94">
        <f t="shared" si="107"/>
        <v>21</v>
      </c>
      <c r="W77" s="95">
        <f t="shared" si="108"/>
        <v>3</v>
      </c>
      <c r="X77" s="10" t="s">
        <v>129</v>
      </c>
      <c r="Y77" s="1" t="s">
        <v>130</v>
      </c>
      <c r="Z77" s="1">
        <f t="shared" si="109"/>
        <v>4</v>
      </c>
      <c r="AA77" s="1">
        <f t="shared" si="110"/>
        <v>4</v>
      </c>
      <c r="AB77" s="1">
        <f t="shared" si="111"/>
        <v>4</v>
      </c>
      <c r="AC77" s="12">
        <f t="shared" si="82"/>
        <v>12</v>
      </c>
      <c r="AD77" s="1" t="s">
        <v>131</v>
      </c>
      <c r="AE77" s="2">
        <f t="shared" si="83"/>
        <v>60</v>
      </c>
      <c r="AF77" s="83" t="s">
        <v>80</v>
      </c>
      <c r="AG77" s="1">
        <f t="shared" si="84"/>
        <v>6</v>
      </c>
      <c r="AH77" s="1">
        <f t="shared" si="85"/>
        <v>0</v>
      </c>
      <c r="AI77" s="1">
        <f t="shared" si="86"/>
        <v>0</v>
      </c>
      <c r="AJ77" s="69">
        <f t="shared" si="87"/>
        <v>0</v>
      </c>
      <c r="AK77" s="83" t="s">
        <v>132</v>
      </c>
      <c r="AL77" s="1">
        <f t="shared" si="88"/>
        <v>24</v>
      </c>
      <c r="AM77" s="1">
        <f t="shared" si="89"/>
        <v>0</v>
      </c>
      <c r="AN77" s="1">
        <f t="shared" si="90"/>
        <v>0</v>
      </c>
      <c r="AO77" s="98">
        <f>Summary[[#This Row],[3*2]]+Summary[[#This Row],[3*22]]+Summary[[#This Row],[3*23]]</f>
        <v>57</v>
      </c>
      <c r="AP77" s="97">
        <f>Summary[[#This Row],[2*2]]+Summary[[#This Row],[2*23]]+Summary[[#This Row],[2*24]]</f>
        <v>66</v>
      </c>
      <c r="AQ77" s="97">
        <f>Summary[[#This Row],[1*2]]+Summary[[#This Row],[1*24]]+Summary[[#This Row],[1*25]]</f>
        <v>18</v>
      </c>
      <c r="AR77" s="97">
        <f t="shared" si="91"/>
        <v>19</v>
      </c>
      <c r="AS77" s="97">
        <f t="shared" si="92"/>
        <v>22</v>
      </c>
      <c r="AT77" s="97">
        <f t="shared" si="93"/>
        <v>6</v>
      </c>
      <c r="AU77" s="97">
        <f t="shared" si="94"/>
        <v>19</v>
      </c>
      <c r="AV77" s="97">
        <f t="shared" si="95"/>
        <v>22</v>
      </c>
      <c r="AW77" s="97">
        <f t="shared" si="96"/>
        <v>6</v>
      </c>
      <c r="AX77" s="97">
        <f t="shared" si="97"/>
        <v>19</v>
      </c>
      <c r="AY77" s="97">
        <f t="shared" si="98"/>
        <v>22</v>
      </c>
      <c r="AZ77" s="97">
        <f t="shared" si="99"/>
        <v>6</v>
      </c>
      <c r="BA77" s="83">
        <f>SUM(Summary[[#This Row],[3* (Tal)]],Summary[[#This Row],[3* (Asc)]])</f>
        <v>81</v>
      </c>
      <c r="BB77" s="1">
        <f>SUM(Summary[[#This Row],[2* (Tal)]],Summary[[#This Row],[2* (Asc)]])</f>
        <v>66</v>
      </c>
      <c r="BC77" s="69">
        <f>SUM(Summary[[#This Row],[1* (Tal)]],Summary[[#This Row],[1* (Asc)]])</f>
        <v>18</v>
      </c>
    </row>
    <row r="78" spans="1:55" x14ac:dyDescent="0.25">
      <c r="A78" s="86">
        <f>SUBTOTAL(3,$B$3:B78)</f>
        <v>76</v>
      </c>
      <c r="B78" s="88" t="s">
        <v>133</v>
      </c>
      <c r="C78" s="90" t="s">
        <v>67</v>
      </c>
      <c r="D78" s="16" t="s">
        <v>69</v>
      </c>
      <c r="E78" s="11" t="s">
        <v>69</v>
      </c>
      <c r="F78" s="2" t="s">
        <v>69</v>
      </c>
      <c r="G78" s="12" t="s">
        <v>69</v>
      </c>
      <c r="H78" s="83" t="s">
        <v>134</v>
      </c>
      <c r="I78" s="12">
        <f t="shared" si="77"/>
        <v>0</v>
      </c>
      <c r="J78" s="92">
        <f t="shared" si="78"/>
        <v>0</v>
      </c>
      <c r="K78" s="93" t="s">
        <v>135</v>
      </c>
      <c r="L78" s="94">
        <f t="shared" si="79"/>
        <v>0</v>
      </c>
      <c r="M78" s="94">
        <f t="shared" si="80"/>
        <v>0</v>
      </c>
      <c r="N78" s="95">
        <f t="shared" si="81"/>
        <v>0</v>
      </c>
      <c r="O78" s="93">
        <f t="shared" si="100"/>
        <v>0</v>
      </c>
      <c r="P78" s="94">
        <f t="shared" si="101"/>
        <v>0</v>
      </c>
      <c r="Q78" s="94">
        <f t="shared" si="102"/>
        <v>0</v>
      </c>
      <c r="R78" s="94">
        <f t="shared" si="103"/>
        <v>0</v>
      </c>
      <c r="S78" s="94">
        <f t="shared" si="104"/>
        <v>0</v>
      </c>
      <c r="T78" s="94">
        <f t="shared" si="105"/>
        <v>0</v>
      </c>
      <c r="U78" s="94">
        <f t="shared" si="106"/>
        <v>0</v>
      </c>
      <c r="V78" s="94">
        <f t="shared" si="107"/>
        <v>0</v>
      </c>
      <c r="W78" s="95">
        <f t="shared" si="108"/>
        <v>0</v>
      </c>
      <c r="X78" s="10" t="s">
        <v>136</v>
      </c>
      <c r="Y78" s="1" t="s">
        <v>137</v>
      </c>
      <c r="Z78" s="1">
        <f t="shared" si="109"/>
        <v>0</v>
      </c>
      <c r="AA78" s="1">
        <f t="shared" si="110"/>
        <v>0</v>
      </c>
      <c r="AB78" s="1">
        <f t="shared" si="111"/>
        <v>0</v>
      </c>
      <c r="AC78" s="12">
        <f t="shared" si="82"/>
        <v>0</v>
      </c>
      <c r="AD78" s="1" t="s">
        <v>138</v>
      </c>
      <c r="AE78" s="2">
        <f t="shared" si="83"/>
        <v>0</v>
      </c>
      <c r="AF78" s="83" t="s">
        <v>80</v>
      </c>
      <c r="AG78" s="1">
        <f t="shared" si="84"/>
        <v>0</v>
      </c>
      <c r="AH78" s="1">
        <f t="shared" si="85"/>
        <v>0</v>
      </c>
      <c r="AI78" s="1">
        <f t="shared" si="86"/>
        <v>0</v>
      </c>
      <c r="AJ78" s="69">
        <f t="shared" si="87"/>
        <v>0</v>
      </c>
      <c r="AK78" s="83" t="s">
        <v>119</v>
      </c>
      <c r="AL78" s="1">
        <f t="shared" si="88"/>
        <v>0</v>
      </c>
      <c r="AM78" s="1">
        <f t="shared" si="89"/>
        <v>0</v>
      </c>
      <c r="AN78" s="1">
        <f t="shared" si="90"/>
        <v>0</v>
      </c>
      <c r="AO78" s="98">
        <f>Summary[[#This Row],[3*2]]+Summary[[#This Row],[3*22]]+Summary[[#This Row],[3*23]]</f>
        <v>0</v>
      </c>
      <c r="AP78" s="97">
        <f>Summary[[#This Row],[2*2]]+Summary[[#This Row],[2*23]]+Summary[[#This Row],[2*24]]</f>
        <v>0</v>
      </c>
      <c r="AQ78" s="97">
        <f>Summary[[#This Row],[1*2]]+Summary[[#This Row],[1*24]]+Summary[[#This Row],[1*25]]</f>
        <v>0</v>
      </c>
      <c r="AR78" s="97">
        <f t="shared" si="91"/>
        <v>0</v>
      </c>
      <c r="AS78" s="97">
        <f t="shared" si="92"/>
        <v>0</v>
      </c>
      <c r="AT78" s="97">
        <f t="shared" si="93"/>
        <v>0</v>
      </c>
      <c r="AU78" s="97">
        <f t="shared" si="94"/>
        <v>0</v>
      </c>
      <c r="AV78" s="97">
        <f t="shared" si="95"/>
        <v>0</v>
      </c>
      <c r="AW78" s="97">
        <f t="shared" si="96"/>
        <v>0</v>
      </c>
      <c r="AX78" s="97">
        <f t="shared" si="97"/>
        <v>0</v>
      </c>
      <c r="AY78" s="97">
        <f t="shared" si="98"/>
        <v>0</v>
      </c>
      <c r="AZ78" s="97">
        <f t="shared" si="99"/>
        <v>0</v>
      </c>
      <c r="BA78" s="83">
        <f>SUM(Summary[[#This Row],[3* (Tal)]],Summary[[#This Row],[3* (Asc)]])</f>
        <v>0</v>
      </c>
      <c r="BB78" s="1">
        <f>SUM(Summary[[#This Row],[2* (Tal)]],Summary[[#This Row],[2* (Asc)]])</f>
        <v>0</v>
      </c>
      <c r="BC78" s="69">
        <f>SUM(Summary[[#This Row],[1* (Tal)]],Summary[[#This Row],[1* (Asc)]])</f>
        <v>0</v>
      </c>
    </row>
    <row r="79" spans="1:55" x14ac:dyDescent="0.25">
      <c r="A79" s="86">
        <f>SUBTOTAL(3,$B$3:B79)</f>
        <v>77</v>
      </c>
      <c r="B79" s="88" t="s">
        <v>274</v>
      </c>
      <c r="C79" s="90" t="s">
        <v>252</v>
      </c>
      <c r="D79" s="16">
        <v>90</v>
      </c>
      <c r="E79" s="11">
        <v>1</v>
      </c>
      <c r="F79" s="2">
        <v>9</v>
      </c>
      <c r="G79" s="12">
        <v>10</v>
      </c>
      <c r="H79" s="83" t="s">
        <v>254</v>
      </c>
      <c r="I79" s="12">
        <f t="shared" si="77"/>
        <v>0</v>
      </c>
      <c r="J79" s="92">
        <f t="shared" si="78"/>
        <v>0</v>
      </c>
      <c r="K79" s="93" t="s">
        <v>128</v>
      </c>
      <c r="L79" s="94">
        <f t="shared" si="79"/>
        <v>22</v>
      </c>
      <c r="M79" s="94">
        <f t="shared" si="80"/>
        <v>21</v>
      </c>
      <c r="N79" s="95">
        <f t="shared" si="81"/>
        <v>3</v>
      </c>
      <c r="O79" s="93">
        <f t="shared" si="100"/>
        <v>22</v>
      </c>
      <c r="P79" s="94">
        <f t="shared" si="101"/>
        <v>21</v>
      </c>
      <c r="Q79" s="94">
        <f t="shared" si="102"/>
        <v>3</v>
      </c>
      <c r="R79" s="94">
        <f t="shared" si="103"/>
        <v>0</v>
      </c>
      <c r="S79" s="94">
        <f t="shared" si="104"/>
        <v>0</v>
      </c>
      <c r="T79" s="94">
        <f t="shared" si="105"/>
        <v>0</v>
      </c>
      <c r="U79" s="94">
        <f t="shared" si="106"/>
        <v>0</v>
      </c>
      <c r="V79" s="94">
        <f t="shared" si="107"/>
        <v>0</v>
      </c>
      <c r="W79" s="95">
        <f t="shared" si="108"/>
        <v>0</v>
      </c>
      <c r="X79" s="10" t="s">
        <v>113</v>
      </c>
      <c r="Y79" s="1" t="s">
        <v>117</v>
      </c>
      <c r="Z79" s="1">
        <f t="shared" si="109"/>
        <v>4</v>
      </c>
      <c r="AA79" s="1">
        <f t="shared" si="110"/>
        <v>0</v>
      </c>
      <c r="AB79" s="1">
        <f t="shared" si="111"/>
        <v>0</v>
      </c>
      <c r="AC79" s="12">
        <f t="shared" si="82"/>
        <v>4</v>
      </c>
      <c r="AD79" s="1" t="s">
        <v>275</v>
      </c>
      <c r="AE79" s="2">
        <f t="shared" si="83"/>
        <v>0</v>
      </c>
      <c r="AF79" s="83" t="s">
        <v>256</v>
      </c>
      <c r="AG79" s="1">
        <f t="shared" si="84"/>
        <v>0</v>
      </c>
      <c r="AH79" s="1">
        <f t="shared" si="85"/>
        <v>0</v>
      </c>
      <c r="AI79" s="1">
        <f t="shared" si="86"/>
        <v>0</v>
      </c>
      <c r="AJ79" s="69">
        <f t="shared" si="87"/>
        <v>0</v>
      </c>
      <c r="AK79" s="83" t="s">
        <v>74</v>
      </c>
      <c r="AL79" s="1">
        <f t="shared" si="88"/>
        <v>0</v>
      </c>
      <c r="AM79" s="1">
        <f t="shared" si="89"/>
        <v>0</v>
      </c>
      <c r="AN79" s="1">
        <f t="shared" si="90"/>
        <v>0</v>
      </c>
      <c r="AO79" s="98">
        <f>Summary[[#This Row],[3*2]]+Summary[[#This Row],[3*22]]+Summary[[#This Row],[3*23]]</f>
        <v>19</v>
      </c>
      <c r="AP79" s="97">
        <f>Summary[[#This Row],[2*2]]+Summary[[#This Row],[2*23]]+Summary[[#This Row],[2*24]]</f>
        <v>22</v>
      </c>
      <c r="AQ79" s="97">
        <f>Summary[[#This Row],[1*2]]+Summary[[#This Row],[1*24]]+Summary[[#This Row],[1*25]]</f>
        <v>6</v>
      </c>
      <c r="AR79" s="97">
        <f t="shared" si="91"/>
        <v>19</v>
      </c>
      <c r="AS79" s="97">
        <f t="shared" si="92"/>
        <v>22</v>
      </c>
      <c r="AT79" s="97">
        <f t="shared" si="93"/>
        <v>6</v>
      </c>
      <c r="AU79" s="97">
        <f t="shared" si="94"/>
        <v>0</v>
      </c>
      <c r="AV79" s="97">
        <f t="shared" si="95"/>
        <v>0</v>
      </c>
      <c r="AW79" s="97">
        <f t="shared" si="96"/>
        <v>0</v>
      </c>
      <c r="AX79" s="97">
        <f t="shared" si="97"/>
        <v>0</v>
      </c>
      <c r="AY79" s="97">
        <f t="shared" si="98"/>
        <v>0</v>
      </c>
      <c r="AZ79" s="97">
        <f t="shared" si="99"/>
        <v>0</v>
      </c>
      <c r="BA79" s="83">
        <f>SUM(Summary[[#This Row],[3* (Tal)]],Summary[[#This Row],[3* (Asc)]])</f>
        <v>19</v>
      </c>
      <c r="BB79" s="1">
        <f>SUM(Summary[[#This Row],[2* (Tal)]],Summary[[#This Row],[2* (Asc)]])</f>
        <v>22</v>
      </c>
      <c r="BC79" s="69">
        <f>SUM(Summary[[#This Row],[1* (Tal)]],Summary[[#This Row],[1* (Asc)]])</f>
        <v>6</v>
      </c>
    </row>
    <row r="80" spans="1:55" x14ac:dyDescent="0.25">
      <c r="A80" s="86">
        <f>SUBTOTAL(3,$B$3:B80)</f>
        <v>78</v>
      </c>
      <c r="B80" s="88" t="s">
        <v>295</v>
      </c>
      <c r="C80" s="90" t="s">
        <v>277</v>
      </c>
      <c r="D80" s="16">
        <v>40</v>
      </c>
      <c r="E80" s="11">
        <v>1</v>
      </c>
      <c r="F80" s="2">
        <v>1</v>
      </c>
      <c r="G80" s="12">
        <v>1</v>
      </c>
      <c r="H80" s="83" t="s">
        <v>279</v>
      </c>
      <c r="I80" s="12">
        <f t="shared" si="77"/>
        <v>46</v>
      </c>
      <c r="J80" s="92">
        <f t="shared" si="78"/>
        <v>384</v>
      </c>
      <c r="K80" s="93" t="s">
        <v>128</v>
      </c>
      <c r="L80" s="94">
        <f t="shared" si="79"/>
        <v>66</v>
      </c>
      <c r="M80" s="94">
        <f t="shared" si="80"/>
        <v>63</v>
      </c>
      <c r="N80" s="95">
        <f t="shared" si="81"/>
        <v>9</v>
      </c>
      <c r="O80" s="93">
        <f t="shared" si="100"/>
        <v>22</v>
      </c>
      <c r="P80" s="94">
        <f t="shared" si="101"/>
        <v>21</v>
      </c>
      <c r="Q80" s="94">
        <f t="shared" si="102"/>
        <v>3</v>
      </c>
      <c r="R80" s="94">
        <f t="shared" si="103"/>
        <v>22</v>
      </c>
      <c r="S80" s="94">
        <f t="shared" si="104"/>
        <v>21</v>
      </c>
      <c r="T80" s="94">
        <f t="shared" si="105"/>
        <v>3</v>
      </c>
      <c r="U80" s="94">
        <f t="shared" si="106"/>
        <v>22</v>
      </c>
      <c r="V80" s="94">
        <f t="shared" si="107"/>
        <v>21</v>
      </c>
      <c r="W80" s="95">
        <f t="shared" si="108"/>
        <v>3</v>
      </c>
      <c r="X80" s="10" t="s">
        <v>136</v>
      </c>
      <c r="Y80" s="1" t="s">
        <v>238</v>
      </c>
      <c r="Z80" s="1">
        <f t="shared" si="109"/>
        <v>4</v>
      </c>
      <c r="AA80" s="1">
        <f t="shared" si="110"/>
        <v>4</v>
      </c>
      <c r="AB80" s="1">
        <f t="shared" si="111"/>
        <v>4</v>
      </c>
      <c r="AC80" s="12">
        <f t="shared" si="82"/>
        <v>12</v>
      </c>
      <c r="AD80" s="1" t="s">
        <v>181</v>
      </c>
      <c r="AE80" s="2">
        <f t="shared" si="83"/>
        <v>155</v>
      </c>
      <c r="AF80" s="83" t="s">
        <v>280</v>
      </c>
      <c r="AG80" s="1">
        <f t="shared" si="84"/>
        <v>6</v>
      </c>
      <c r="AH80" s="1">
        <f t="shared" si="85"/>
        <v>9</v>
      </c>
      <c r="AI80" s="1">
        <f t="shared" si="86"/>
        <v>9</v>
      </c>
      <c r="AJ80" s="69">
        <f t="shared" si="87"/>
        <v>0</v>
      </c>
      <c r="AK80" s="83" t="s">
        <v>93</v>
      </c>
      <c r="AL80" s="1">
        <f t="shared" si="88"/>
        <v>36</v>
      </c>
      <c r="AM80" s="1">
        <f t="shared" si="89"/>
        <v>30</v>
      </c>
      <c r="AN80" s="1">
        <f t="shared" si="90"/>
        <v>15</v>
      </c>
      <c r="AO80" s="98">
        <f>Summary[[#This Row],[3*2]]+Summary[[#This Row],[3*22]]+Summary[[#This Row],[3*23]]</f>
        <v>57</v>
      </c>
      <c r="AP80" s="97">
        <f>Summary[[#This Row],[2*2]]+Summary[[#This Row],[2*23]]+Summary[[#This Row],[2*24]]</f>
        <v>66</v>
      </c>
      <c r="AQ80" s="97">
        <f>Summary[[#This Row],[1*2]]+Summary[[#This Row],[1*24]]+Summary[[#This Row],[1*25]]</f>
        <v>18</v>
      </c>
      <c r="AR80" s="97">
        <f t="shared" si="91"/>
        <v>19</v>
      </c>
      <c r="AS80" s="97">
        <f t="shared" si="92"/>
        <v>22</v>
      </c>
      <c r="AT80" s="97">
        <f t="shared" si="93"/>
        <v>6</v>
      </c>
      <c r="AU80" s="97">
        <f t="shared" si="94"/>
        <v>19</v>
      </c>
      <c r="AV80" s="97">
        <f t="shared" si="95"/>
        <v>22</v>
      </c>
      <c r="AW80" s="97">
        <f t="shared" si="96"/>
        <v>6</v>
      </c>
      <c r="AX80" s="97">
        <f t="shared" si="97"/>
        <v>19</v>
      </c>
      <c r="AY80" s="97">
        <f t="shared" si="98"/>
        <v>22</v>
      </c>
      <c r="AZ80" s="97">
        <f t="shared" si="99"/>
        <v>6</v>
      </c>
      <c r="BA80" s="83">
        <f>SUM(Summary[[#This Row],[3* (Tal)]],Summary[[#This Row],[3* (Asc)]])</f>
        <v>93</v>
      </c>
      <c r="BB80" s="1">
        <f>SUM(Summary[[#This Row],[2* (Tal)]],Summary[[#This Row],[2* (Asc)]])</f>
        <v>96</v>
      </c>
      <c r="BC80" s="69">
        <f>SUM(Summary[[#This Row],[1* (Tal)]],Summary[[#This Row],[1* (Asc)]])</f>
        <v>33</v>
      </c>
    </row>
    <row r="81" spans="1:55" x14ac:dyDescent="0.25">
      <c r="A81" s="86">
        <f>SUBTOTAL(3,$B$3:B81)</f>
        <v>79</v>
      </c>
      <c r="B81" s="88" t="s">
        <v>234</v>
      </c>
      <c r="C81" s="90" t="s">
        <v>212</v>
      </c>
      <c r="D81" s="16" t="s">
        <v>69</v>
      </c>
      <c r="E81" s="11" t="s">
        <v>69</v>
      </c>
      <c r="F81" s="2" t="s">
        <v>69</v>
      </c>
      <c r="G81" s="12" t="s">
        <v>69</v>
      </c>
      <c r="H81" s="83" t="s">
        <v>185</v>
      </c>
      <c r="I81" s="12">
        <f t="shared" si="77"/>
        <v>0</v>
      </c>
      <c r="J81" s="92">
        <f t="shared" si="78"/>
        <v>0</v>
      </c>
      <c r="K81" s="93" t="s">
        <v>108</v>
      </c>
      <c r="L81" s="94">
        <f t="shared" si="79"/>
        <v>0</v>
      </c>
      <c r="M81" s="94">
        <f t="shared" si="80"/>
        <v>0</v>
      </c>
      <c r="N81" s="95">
        <f t="shared" si="81"/>
        <v>0</v>
      </c>
      <c r="O81" s="93">
        <f t="shared" si="100"/>
        <v>0</v>
      </c>
      <c r="P81" s="94">
        <f t="shared" si="101"/>
        <v>0</v>
      </c>
      <c r="Q81" s="94">
        <f t="shared" si="102"/>
        <v>0</v>
      </c>
      <c r="R81" s="94">
        <f t="shared" si="103"/>
        <v>0</v>
      </c>
      <c r="S81" s="94">
        <f t="shared" si="104"/>
        <v>0</v>
      </c>
      <c r="T81" s="94">
        <f t="shared" si="105"/>
        <v>0</v>
      </c>
      <c r="U81" s="94">
        <f t="shared" si="106"/>
        <v>0</v>
      </c>
      <c r="V81" s="94">
        <f t="shared" si="107"/>
        <v>0</v>
      </c>
      <c r="W81" s="95">
        <f t="shared" si="108"/>
        <v>0</v>
      </c>
      <c r="X81" s="10" t="s">
        <v>104</v>
      </c>
      <c r="Y81" s="1" t="s">
        <v>105</v>
      </c>
      <c r="Z81" s="1">
        <f t="shared" si="109"/>
        <v>0</v>
      </c>
      <c r="AA81" s="1">
        <f t="shared" si="110"/>
        <v>0</v>
      </c>
      <c r="AB81" s="1">
        <f t="shared" si="111"/>
        <v>0</v>
      </c>
      <c r="AC81" s="12">
        <f t="shared" si="82"/>
        <v>0</v>
      </c>
      <c r="AD81" s="1" t="s">
        <v>92</v>
      </c>
      <c r="AE81" s="2">
        <f t="shared" si="83"/>
        <v>0</v>
      </c>
      <c r="AF81" s="83" t="s">
        <v>217</v>
      </c>
      <c r="AG81" s="1">
        <f t="shared" si="84"/>
        <v>0</v>
      </c>
      <c r="AH81" s="1">
        <f t="shared" si="85"/>
        <v>0</v>
      </c>
      <c r="AI81" s="1">
        <f t="shared" si="86"/>
        <v>0</v>
      </c>
      <c r="AJ81" s="69">
        <f t="shared" si="87"/>
        <v>0</v>
      </c>
      <c r="AK81" s="83" t="s">
        <v>125</v>
      </c>
      <c r="AL81" s="1">
        <f t="shared" si="88"/>
        <v>0</v>
      </c>
      <c r="AM81" s="1">
        <f t="shared" si="89"/>
        <v>0</v>
      </c>
      <c r="AN81" s="1">
        <f t="shared" si="90"/>
        <v>0</v>
      </c>
      <c r="AO81" s="98">
        <f>Summary[[#This Row],[3*2]]+Summary[[#This Row],[3*22]]+Summary[[#This Row],[3*23]]</f>
        <v>0</v>
      </c>
      <c r="AP81" s="97">
        <f>Summary[[#This Row],[2*2]]+Summary[[#This Row],[2*23]]+Summary[[#This Row],[2*24]]</f>
        <v>0</v>
      </c>
      <c r="AQ81" s="97">
        <f>Summary[[#This Row],[1*2]]+Summary[[#This Row],[1*24]]+Summary[[#This Row],[1*25]]</f>
        <v>0</v>
      </c>
      <c r="AR81" s="97">
        <f t="shared" si="91"/>
        <v>0</v>
      </c>
      <c r="AS81" s="97">
        <f t="shared" si="92"/>
        <v>0</v>
      </c>
      <c r="AT81" s="97">
        <f t="shared" si="93"/>
        <v>0</v>
      </c>
      <c r="AU81" s="97">
        <f t="shared" si="94"/>
        <v>0</v>
      </c>
      <c r="AV81" s="97">
        <f t="shared" si="95"/>
        <v>0</v>
      </c>
      <c r="AW81" s="97">
        <f t="shared" si="96"/>
        <v>0</v>
      </c>
      <c r="AX81" s="97">
        <f t="shared" si="97"/>
        <v>0</v>
      </c>
      <c r="AY81" s="97">
        <f t="shared" si="98"/>
        <v>0</v>
      </c>
      <c r="AZ81" s="97">
        <f t="shared" si="99"/>
        <v>0</v>
      </c>
      <c r="BA81" s="83">
        <f>SUM(Summary[[#This Row],[3* (Tal)]],Summary[[#This Row],[3* (Asc)]])</f>
        <v>0</v>
      </c>
      <c r="BB81" s="1">
        <f>SUM(Summary[[#This Row],[2* (Tal)]],Summary[[#This Row],[2* (Asc)]])</f>
        <v>0</v>
      </c>
      <c r="BC81" s="69">
        <f>SUM(Summary[[#This Row],[1* (Tal)]],Summary[[#This Row],[1* (Asc)]])</f>
        <v>0</v>
      </c>
    </row>
    <row r="82" spans="1:55" x14ac:dyDescent="0.25">
      <c r="A82" s="86">
        <f>SUBTOTAL(3,$B$3:B82)</f>
        <v>80</v>
      </c>
      <c r="B82" s="88" t="s">
        <v>296</v>
      </c>
      <c r="C82" s="90" t="s">
        <v>277</v>
      </c>
      <c r="D82" s="16">
        <v>80</v>
      </c>
      <c r="E82" s="11">
        <v>4</v>
      </c>
      <c r="F82" s="2">
        <v>4</v>
      </c>
      <c r="G82" s="12">
        <v>4</v>
      </c>
      <c r="H82" s="83" t="s">
        <v>134</v>
      </c>
      <c r="I82" s="12">
        <f t="shared" si="77"/>
        <v>20</v>
      </c>
      <c r="J82" s="92">
        <f t="shared" si="78"/>
        <v>172</v>
      </c>
      <c r="K82" s="93" t="s">
        <v>128</v>
      </c>
      <c r="L82" s="94">
        <f t="shared" si="79"/>
        <v>66</v>
      </c>
      <c r="M82" s="94">
        <f t="shared" si="80"/>
        <v>45</v>
      </c>
      <c r="N82" s="95">
        <f t="shared" si="81"/>
        <v>0</v>
      </c>
      <c r="O82" s="93">
        <f t="shared" si="100"/>
        <v>22</v>
      </c>
      <c r="P82" s="94">
        <f t="shared" si="101"/>
        <v>15</v>
      </c>
      <c r="Q82" s="94">
        <f t="shared" si="102"/>
        <v>0</v>
      </c>
      <c r="R82" s="94">
        <f t="shared" si="103"/>
        <v>22</v>
      </c>
      <c r="S82" s="94">
        <f t="shared" si="104"/>
        <v>15</v>
      </c>
      <c r="T82" s="94">
        <f t="shared" si="105"/>
        <v>0</v>
      </c>
      <c r="U82" s="94">
        <f t="shared" si="106"/>
        <v>22</v>
      </c>
      <c r="V82" s="94">
        <f t="shared" si="107"/>
        <v>15</v>
      </c>
      <c r="W82" s="95">
        <f t="shared" si="108"/>
        <v>0</v>
      </c>
      <c r="X82" s="10" t="s">
        <v>90</v>
      </c>
      <c r="Y82" s="1" t="s">
        <v>170</v>
      </c>
      <c r="Z82" s="1">
        <f t="shared" si="109"/>
        <v>4</v>
      </c>
      <c r="AA82" s="1">
        <f t="shared" si="110"/>
        <v>4</v>
      </c>
      <c r="AB82" s="1">
        <f t="shared" si="111"/>
        <v>4</v>
      </c>
      <c r="AC82" s="12">
        <f t="shared" si="82"/>
        <v>12</v>
      </c>
      <c r="AD82" s="1" t="s">
        <v>216</v>
      </c>
      <c r="AE82" s="2">
        <f t="shared" si="83"/>
        <v>60</v>
      </c>
      <c r="AF82" s="83" t="s">
        <v>280</v>
      </c>
      <c r="AG82" s="1">
        <f t="shared" si="84"/>
        <v>6</v>
      </c>
      <c r="AH82" s="1">
        <f t="shared" si="85"/>
        <v>0</v>
      </c>
      <c r="AI82" s="1">
        <f t="shared" si="86"/>
        <v>0</v>
      </c>
      <c r="AJ82" s="69">
        <f t="shared" si="87"/>
        <v>0</v>
      </c>
      <c r="AK82" s="83" t="s">
        <v>93</v>
      </c>
      <c r="AL82" s="1">
        <f t="shared" si="88"/>
        <v>24</v>
      </c>
      <c r="AM82" s="1">
        <f t="shared" si="89"/>
        <v>0</v>
      </c>
      <c r="AN82" s="1">
        <f t="shared" si="90"/>
        <v>0</v>
      </c>
      <c r="AO82" s="98">
        <f>Summary[[#This Row],[3*2]]+Summary[[#This Row],[3*22]]+Summary[[#This Row],[3*23]]</f>
        <v>57</v>
      </c>
      <c r="AP82" s="97">
        <f>Summary[[#This Row],[2*2]]+Summary[[#This Row],[2*23]]+Summary[[#This Row],[2*24]]</f>
        <v>45</v>
      </c>
      <c r="AQ82" s="97">
        <f>Summary[[#This Row],[1*2]]+Summary[[#This Row],[1*24]]+Summary[[#This Row],[1*25]]</f>
        <v>0</v>
      </c>
      <c r="AR82" s="97">
        <f t="shared" si="91"/>
        <v>19</v>
      </c>
      <c r="AS82" s="97">
        <f t="shared" si="92"/>
        <v>15</v>
      </c>
      <c r="AT82" s="97">
        <f t="shared" si="93"/>
        <v>0</v>
      </c>
      <c r="AU82" s="97">
        <f t="shared" si="94"/>
        <v>19</v>
      </c>
      <c r="AV82" s="97">
        <f t="shared" si="95"/>
        <v>15</v>
      </c>
      <c r="AW82" s="97">
        <f t="shared" si="96"/>
        <v>0</v>
      </c>
      <c r="AX82" s="97">
        <f t="shared" si="97"/>
        <v>19</v>
      </c>
      <c r="AY82" s="97">
        <f t="shared" si="98"/>
        <v>15</v>
      </c>
      <c r="AZ82" s="97">
        <f t="shared" si="99"/>
        <v>0</v>
      </c>
      <c r="BA82" s="83">
        <f>SUM(Summary[[#This Row],[3* (Tal)]],Summary[[#This Row],[3* (Asc)]])</f>
        <v>81</v>
      </c>
      <c r="BB82" s="1">
        <f>SUM(Summary[[#This Row],[2* (Tal)]],Summary[[#This Row],[2* (Asc)]])</f>
        <v>45</v>
      </c>
      <c r="BC82" s="69">
        <f>SUM(Summary[[#This Row],[1* (Tal)]],Summary[[#This Row],[1* (Asc)]])</f>
        <v>0</v>
      </c>
    </row>
    <row r="83" spans="1:55" x14ac:dyDescent="0.25">
      <c r="A83" s="86">
        <f>SUBTOTAL(3,$B$3:B83)</f>
        <v>81</v>
      </c>
      <c r="B83" s="88" t="s">
        <v>209</v>
      </c>
      <c r="C83" s="90" t="s">
        <v>190</v>
      </c>
      <c r="D83" s="16">
        <v>21</v>
      </c>
      <c r="E83" s="11">
        <v>1</v>
      </c>
      <c r="F83" s="2">
        <v>1</v>
      </c>
      <c r="G83" s="12">
        <v>1</v>
      </c>
      <c r="H83" s="83" t="s">
        <v>202</v>
      </c>
      <c r="I83" s="12">
        <f t="shared" si="77"/>
        <v>46</v>
      </c>
      <c r="J83" s="92">
        <f t="shared" si="78"/>
        <v>402</v>
      </c>
      <c r="K83" s="93" t="s">
        <v>89</v>
      </c>
      <c r="L83" s="94">
        <f t="shared" si="79"/>
        <v>66</v>
      </c>
      <c r="M83" s="94">
        <f t="shared" si="80"/>
        <v>63</v>
      </c>
      <c r="N83" s="95">
        <f t="shared" si="81"/>
        <v>9</v>
      </c>
      <c r="O83" s="93">
        <f t="shared" si="100"/>
        <v>22</v>
      </c>
      <c r="P83" s="94">
        <f t="shared" si="101"/>
        <v>21</v>
      </c>
      <c r="Q83" s="94">
        <f t="shared" si="102"/>
        <v>3</v>
      </c>
      <c r="R83" s="94">
        <f t="shared" si="103"/>
        <v>22</v>
      </c>
      <c r="S83" s="94">
        <f t="shared" si="104"/>
        <v>21</v>
      </c>
      <c r="T83" s="94">
        <f t="shared" si="105"/>
        <v>3</v>
      </c>
      <c r="U83" s="94">
        <f t="shared" si="106"/>
        <v>22</v>
      </c>
      <c r="V83" s="94">
        <f t="shared" si="107"/>
        <v>21</v>
      </c>
      <c r="W83" s="95">
        <f t="shared" si="108"/>
        <v>3</v>
      </c>
      <c r="X83" s="10" t="s">
        <v>78</v>
      </c>
      <c r="Y83" s="1" t="s">
        <v>123</v>
      </c>
      <c r="Z83" s="1">
        <f t="shared" si="109"/>
        <v>4</v>
      </c>
      <c r="AA83" s="1">
        <f t="shared" si="110"/>
        <v>4</v>
      </c>
      <c r="AB83" s="1">
        <f t="shared" si="111"/>
        <v>4</v>
      </c>
      <c r="AC83" s="12">
        <f t="shared" si="82"/>
        <v>12</v>
      </c>
      <c r="AD83" s="1" t="s">
        <v>210</v>
      </c>
      <c r="AE83" s="2">
        <f t="shared" si="83"/>
        <v>165</v>
      </c>
      <c r="AF83" s="83" t="s">
        <v>194</v>
      </c>
      <c r="AG83" s="1">
        <f t="shared" si="84"/>
        <v>6</v>
      </c>
      <c r="AH83" s="1">
        <f t="shared" si="85"/>
        <v>9</v>
      </c>
      <c r="AI83" s="1">
        <f t="shared" si="86"/>
        <v>9</v>
      </c>
      <c r="AJ83" s="69">
        <f t="shared" si="87"/>
        <v>0</v>
      </c>
      <c r="AK83" s="83" t="s">
        <v>119</v>
      </c>
      <c r="AL83" s="1">
        <f t="shared" si="88"/>
        <v>36</v>
      </c>
      <c r="AM83" s="1">
        <f t="shared" si="89"/>
        <v>30</v>
      </c>
      <c r="AN83" s="1">
        <f t="shared" si="90"/>
        <v>15</v>
      </c>
      <c r="AO83" s="98">
        <f>Summary[[#This Row],[3*2]]+Summary[[#This Row],[3*22]]+Summary[[#This Row],[3*23]]</f>
        <v>57</v>
      </c>
      <c r="AP83" s="97">
        <f>Summary[[#This Row],[2*2]]+Summary[[#This Row],[2*23]]+Summary[[#This Row],[2*24]]</f>
        <v>66</v>
      </c>
      <c r="AQ83" s="97">
        <f>Summary[[#This Row],[1*2]]+Summary[[#This Row],[1*24]]+Summary[[#This Row],[1*25]]</f>
        <v>18</v>
      </c>
      <c r="AR83" s="97">
        <f t="shared" si="91"/>
        <v>19</v>
      </c>
      <c r="AS83" s="97">
        <f t="shared" si="92"/>
        <v>22</v>
      </c>
      <c r="AT83" s="97">
        <f t="shared" si="93"/>
        <v>6</v>
      </c>
      <c r="AU83" s="97">
        <f t="shared" si="94"/>
        <v>19</v>
      </c>
      <c r="AV83" s="97">
        <f t="shared" si="95"/>
        <v>22</v>
      </c>
      <c r="AW83" s="97">
        <f t="shared" si="96"/>
        <v>6</v>
      </c>
      <c r="AX83" s="97">
        <f t="shared" si="97"/>
        <v>19</v>
      </c>
      <c r="AY83" s="97">
        <f t="shared" si="98"/>
        <v>22</v>
      </c>
      <c r="AZ83" s="97">
        <f t="shared" si="99"/>
        <v>6</v>
      </c>
      <c r="BA83" s="83">
        <f>SUM(Summary[[#This Row],[3* (Tal)]],Summary[[#This Row],[3* (Asc)]])</f>
        <v>93</v>
      </c>
      <c r="BB83" s="1">
        <f>SUM(Summary[[#This Row],[2* (Tal)]],Summary[[#This Row],[2* (Asc)]])</f>
        <v>96</v>
      </c>
      <c r="BC83" s="69">
        <f>SUM(Summary[[#This Row],[1* (Tal)]],Summary[[#This Row],[1* (Asc)]])</f>
        <v>33</v>
      </c>
    </row>
    <row r="84" spans="1:55" x14ac:dyDescent="0.25">
      <c r="A84" s="86">
        <f>SUBTOTAL(3,$B$3:B84)</f>
        <v>82</v>
      </c>
      <c r="B84" s="88" t="s">
        <v>276</v>
      </c>
      <c r="C84" s="90" t="s">
        <v>252</v>
      </c>
      <c r="D84" s="16">
        <v>90</v>
      </c>
      <c r="E84" s="11">
        <v>1</v>
      </c>
      <c r="F84" s="2">
        <v>9</v>
      </c>
      <c r="G84" s="12">
        <v>10</v>
      </c>
      <c r="H84" s="83" t="s">
        <v>102</v>
      </c>
      <c r="I84" s="12">
        <f t="shared" si="77"/>
        <v>0</v>
      </c>
      <c r="J84" s="92">
        <f t="shared" si="78"/>
        <v>0</v>
      </c>
      <c r="K84" s="93" t="s">
        <v>135</v>
      </c>
      <c r="L84" s="94">
        <f t="shared" si="79"/>
        <v>22</v>
      </c>
      <c r="M84" s="94">
        <f t="shared" si="80"/>
        <v>21</v>
      </c>
      <c r="N84" s="95">
        <f t="shared" si="81"/>
        <v>3</v>
      </c>
      <c r="O84" s="93">
        <f t="shared" si="100"/>
        <v>22</v>
      </c>
      <c r="P84" s="94">
        <f t="shared" si="101"/>
        <v>21</v>
      </c>
      <c r="Q84" s="94">
        <f t="shared" si="102"/>
        <v>3</v>
      </c>
      <c r="R84" s="94">
        <f t="shared" si="103"/>
        <v>0</v>
      </c>
      <c r="S84" s="94">
        <f t="shared" si="104"/>
        <v>0</v>
      </c>
      <c r="T84" s="94">
        <f t="shared" si="105"/>
        <v>0</v>
      </c>
      <c r="U84" s="94">
        <f t="shared" si="106"/>
        <v>0</v>
      </c>
      <c r="V84" s="94">
        <f t="shared" si="107"/>
        <v>0</v>
      </c>
      <c r="W84" s="95">
        <f t="shared" si="108"/>
        <v>0</v>
      </c>
      <c r="X84" s="10" t="s">
        <v>90</v>
      </c>
      <c r="Y84" s="1" t="s">
        <v>91</v>
      </c>
      <c r="Z84" s="1">
        <f t="shared" si="109"/>
        <v>4</v>
      </c>
      <c r="AA84" s="1">
        <f t="shared" si="110"/>
        <v>0</v>
      </c>
      <c r="AB84" s="1">
        <f t="shared" si="111"/>
        <v>0</v>
      </c>
      <c r="AC84" s="12">
        <f t="shared" si="82"/>
        <v>4</v>
      </c>
      <c r="AD84" s="1" t="s">
        <v>273</v>
      </c>
      <c r="AE84" s="2">
        <f t="shared" si="83"/>
        <v>0</v>
      </c>
      <c r="AF84" s="83" t="s">
        <v>256</v>
      </c>
      <c r="AG84" s="1">
        <f t="shared" si="84"/>
        <v>0</v>
      </c>
      <c r="AH84" s="1">
        <f t="shared" si="85"/>
        <v>0</v>
      </c>
      <c r="AI84" s="1">
        <f t="shared" si="86"/>
        <v>0</v>
      </c>
      <c r="AJ84" s="69">
        <f t="shared" si="87"/>
        <v>0</v>
      </c>
      <c r="AK84" s="83" t="s">
        <v>179</v>
      </c>
      <c r="AL84" s="1">
        <f t="shared" si="88"/>
        <v>0</v>
      </c>
      <c r="AM84" s="1">
        <f t="shared" si="89"/>
        <v>0</v>
      </c>
      <c r="AN84" s="1">
        <f t="shared" si="90"/>
        <v>0</v>
      </c>
      <c r="AO84" s="98">
        <f>Summary[[#This Row],[3*2]]+Summary[[#This Row],[3*22]]+Summary[[#This Row],[3*23]]</f>
        <v>19</v>
      </c>
      <c r="AP84" s="97">
        <f>Summary[[#This Row],[2*2]]+Summary[[#This Row],[2*23]]+Summary[[#This Row],[2*24]]</f>
        <v>22</v>
      </c>
      <c r="AQ84" s="97">
        <f>Summary[[#This Row],[1*2]]+Summary[[#This Row],[1*24]]+Summary[[#This Row],[1*25]]</f>
        <v>6</v>
      </c>
      <c r="AR84" s="97">
        <f t="shared" si="91"/>
        <v>19</v>
      </c>
      <c r="AS84" s="97">
        <f t="shared" si="92"/>
        <v>22</v>
      </c>
      <c r="AT84" s="97">
        <f t="shared" si="93"/>
        <v>6</v>
      </c>
      <c r="AU84" s="97">
        <f t="shared" si="94"/>
        <v>0</v>
      </c>
      <c r="AV84" s="97">
        <f t="shared" si="95"/>
        <v>0</v>
      </c>
      <c r="AW84" s="97">
        <f t="shared" si="96"/>
        <v>0</v>
      </c>
      <c r="AX84" s="97">
        <f t="shared" si="97"/>
        <v>0</v>
      </c>
      <c r="AY84" s="97">
        <f t="shared" si="98"/>
        <v>0</v>
      </c>
      <c r="AZ84" s="97">
        <f t="shared" si="99"/>
        <v>0</v>
      </c>
      <c r="BA84" s="83">
        <f>SUM(Summary[[#This Row],[3* (Tal)]],Summary[[#This Row],[3* (Asc)]])</f>
        <v>19</v>
      </c>
      <c r="BB84" s="1">
        <f>SUM(Summary[[#This Row],[2* (Tal)]],Summary[[#This Row],[2* (Asc)]])</f>
        <v>22</v>
      </c>
      <c r="BC84" s="69">
        <f>SUM(Summary[[#This Row],[1* (Tal)]],Summary[[#This Row],[1* (Asc)]])</f>
        <v>6</v>
      </c>
    </row>
    <row r="85" spans="1:55" x14ac:dyDescent="0.25">
      <c r="A85" s="86">
        <f>SUBTOTAL(3,$B$3:B85)</f>
        <v>83</v>
      </c>
      <c r="B85" s="88" t="s">
        <v>297</v>
      </c>
      <c r="C85" s="90" t="s">
        <v>277</v>
      </c>
      <c r="D85" s="16">
        <v>90</v>
      </c>
      <c r="E85" s="11">
        <v>9</v>
      </c>
      <c r="F85" s="2">
        <v>9</v>
      </c>
      <c r="G85" s="12">
        <v>1</v>
      </c>
      <c r="H85" s="83" t="s">
        <v>292</v>
      </c>
      <c r="I85" s="12">
        <f t="shared" si="77"/>
        <v>0</v>
      </c>
      <c r="J85" s="92">
        <f t="shared" si="78"/>
        <v>0</v>
      </c>
      <c r="K85" s="93" t="s">
        <v>103</v>
      </c>
      <c r="L85" s="94">
        <f t="shared" si="79"/>
        <v>22</v>
      </c>
      <c r="M85" s="94">
        <f t="shared" si="80"/>
        <v>21</v>
      </c>
      <c r="N85" s="95">
        <f t="shared" si="81"/>
        <v>3</v>
      </c>
      <c r="O85" s="93">
        <f t="shared" si="100"/>
        <v>0</v>
      </c>
      <c r="P85" s="94">
        <f t="shared" si="101"/>
        <v>0</v>
      </c>
      <c r="Q85" s="94">
        <f t="shared" si="102"/>
        <v>0</v>
      </c>
      <c r="R85" s="94">
        <f t="shared" si="103"/>
        <v>0</v>
      </c>
      <c r="S85" s="94">
        <f t="shared" si="104"/>
        <v>0</v>
      </c>
      <c r="T85" s="94">
        <f t="shared" si="105"/>
        <v>0</v>
      </c>
      <c r="U85" s="94">
        <f t="shared" si="106"/>
        <v>22</v>
      </c>
      <c r="V85" s="94">
        <f t="shared" si="107"/>
        <v>21</v>
      </c>
      <c r="W85" s="95">
        <f t="shared" si="108"/>
        <v>3</v>
      </c>
      <c r="X85" s="10" t="s">
        <v>90</v>
      </c>
      <c r="Y85" s="1" t="s">
        <v>159</v>
      </c>
      <c r="Z85" s="1">
        <f t="shared" si="109"/>
        <v>0</v>
      </c>
      <c r="AA85" s="1">
        <f t="shared" si="110"/>
        <v>0</v>
      </c>
      <c r="AB85" s="1">
        <f t="shared" si="111"/>
        <v>4</v>
      </c>
      <c r="AC85" s="12">
        <f t="shared" si="82"/>
        <v>4</v>
      </c>
      <c r="AD85" s="1" t="s">
        <v>229</v>
      </c>
      <c r="AE85" s="2">
        <f t="shared" si="83"/>
        <v>0</v>
      </c>
      <c r="AF85" s="83" t="s">
        <v>280</v>
      </c>
      <c r="AG85" s="1">
        <f t="shared" si="84"/>
        <v>0</v>
      </c>
      <c r="AH85" s="1">
        <f t="shared" si="85"/>
        <v>0</v>
      </c>
      <c r="AI85" s="1">
        <f t="shared" si="86"/>
        <v>0</v>
      </c>
      <c r="AJ85" s="69">
        <f t="shared" si="87"/>
        <v>0</v>
      </c>
      <c r="AK85" s="83" t="s">
        <v>132</v>
      </c>
      <c r="AL85" s="1">
        <f t="shared" si="88"/>
        <v>0</v>
      </c>
      <c r="AM85" s="1">
        <f t="shared" si="89"/>
        <v>0</v>
      </c>
      <c r="AN85" s="1">
        <f t="shared" si="90"/>
        <v>0</v>
      </c>
      <c r="AO85" s="98">
        <f>Summary[[#This Row],[3*2]]+Summary[[#This Row],[3*22]]+Summary[[#This Row],[3*23]]</f>
        <v>19</v>
      </c>
      <c r="AP85" s="97">
        <f>Summary[[#This Row],[2*2]]+Summary[[#This Row],[2*23]]+Summary[[#This Row],[2*24]]</f>
        <v>22</v>
      </c>
      <c r="AQ85" s="97">
        <f>Summary[[#This Row],[1*2]]+Summary[[#This Row],[1*24]]+Summary[[#This Row],[1*25]]</f>
        <v>6</v>
      </c>
      <c r="AR85" s="97">
        <f t="shared" si="91"/>
        <v>0</v>
      </c>
      <c r="AS85" s="97">
        <f t="shared" si="92"/>
        <v>0</v>
      </c>
      <c r="AT85" s="97">
        <f t="shared" si="93"/>
        <v>0</v>
      </c>
      <c r="AU85" s="97">
        <f t="shared" si="94"/>
        <v>0</v>
      </c>
      <c r="AV85" s="97">
        <f t="shared" si="95"/>
        <v>0</v>
      </c>
      <c r="AW85" s="97">
        <f t="shared" si="96"/>
        <v>0</v>
      </c>
      <c r="AX85" s="97">
        <f t="shared" si="97"/>
        <v>19</v>
      </c>
      <c r="AY85" s="97">
        <f t="shared" si="98"/>
        <v>22</v>
      </c>
      <c r="AZ85" s="97">
        <f t="shared" si="99"/>
        <v>6</v>
      </c>
      <c r="BA85" s="83">
        <f>SUM(Summary[[#This Row],[3* (Tal)]],Summary[[#This Row],[3* (Asc)]])</f>
        <v>19</v>
      </c>
      <c r="BB85" s="1">
        <f>SUM(Summary[[#This Row],[2* (Tal)]],Summary[[#This Row],[2* (Asc)]])</f>
        <v>22</v>
      </c>
      <c r="BC85" s="69">
        <f>SUM(Summary[[#This Row],[1* (Tal)]],Summary[[#This Row],[1* (Asc)]])</f>
        <v>6</v>
      </c>
    </row>
    <row r="86" spans="1:55" x14ac:dyDescent="0.25">
      <c r="A86" s="86">
        <f>SUBTOTAL(3,$B$3:B86)</f>
        <v>84</v>
      </c>
      <c r="B86" s="88" t="s">
        <v>250</v>
      </c>
      <c r="C86" s="90" t="s">
        <v>235</v>
      </c>
      <c r="D86" s="16">
        <v>40</v>
      </c>
      <c r="E86" s="11">
        <v>1</v>
      </c>
      <c r="F86" s="2">
        <v>1</v>
      </c>
      <c r="G86" s="12">
        <v>1</v>
      </c>
      <c r="H86" s="83" t="s">
        <v>241</v>
      </c>
      <c r="I86" s="12">
        <f t="shared" si="77"/>
        <v>46</v>
      </c>
      <c r="J86" s="92">
        <f t="shared" si="78"/>
        <v>384</v>
      </c>
      <c r="K86" s="93" t="s">
        <v>89</v>
      </c>
      <c r="L86" s="94">
        <f t="shared" si="79"/>
        <v>66</v>
      </c>
      <c r="M86" s="94">
        <f t="shared" si="80"/>
        <v>63</v>
      </c>
      <c r="N86" s="95">
        <f t="shared" si="81"/>
        <v>9</v>
      </c>
      <c r="O86" s="93">
        <f t="shared" si="100"/>
        <v>22</v>
      </c>
      <c r="P86" s="94">
        <f t="shared" si="101"/>
        <v>21</v>
      </c>
      <c r="Q86" s="94">
        <f t="shared" si="102"/>
        <v>3</v>
      </c>
      <c r="R86" s="94">
        <f t="shared" si="103"/>
        <v>22</v>
      </c>
      <c r="S86" s="94">
        <f t="shared" si="104"/>
        <v>21</v>
      </c>
      <c r="T86" s="94">
        <f t="shared" si="105"/>
        <v>3</v>
      </c>
      <c r="U86" s="94">
        <f t="shared" si="106"/>
        <v>22</v>
      </c>
      <c r="V86" s="94">
        <f t="shared" si="107"/>
        <v>21</v>
      </c>
      <c r="W86" s="95">
        <f t="shared" si="108"/>
        <v>3</v>
      </c>
      <c r="X86" s="10" t="s">
        <v>142</v>
      </c>
      <c r="Y86" s="1" t="s">
        <v>226</v>
      </c>
      <c r="Z86" s="1">
        <f t="shared" si="109"/>
        <v>4</v>
      </c>
      <c r="AA86" s="1">
        <f t="shared" si="110"/>
        <v>4</v>
      </c>
      <c r="AB86" s="1">
        <f t="shared" si="111"/>
        <v>4</v>
      </c>
      <c r="AC86" s="12">
        <f t="shared" si="82"/>
        <v>12</v>
      </c>
      <c r="AD86" s="1" t="s">
        <v>248</v>
      </c>
      <c r="AE86" s="2">
        <f t="shared" si="83"/>
        <v>155</v>
      </c>
      <c r="AF86" s="83" t="s">
        <v>239</v>
      </c>
      <c r="AG86" s="1">
        <f t="shared" si="84"/>
        <v>6</v>
      </c>
      <c r="AH86" s="1">
        <f t="shared" si="85"/>
        <v>9</v>
      </c>
      <c r="AI86" s="1">
        <f t="shared" si="86"/>
        <v>9</v>
      </c>
      <c r="AJ86" s="69">
        <f t="shared" si="87"/>
        <v>0</v>
      </c>
      <c r="AK86" s="83" t="s">
        <v>74</v>
      </c>
      <c r="AL86" s="1">
        <f t="shared" si="88"/>
        <v>36</v>
      </c>
      <c r="AM86" s="1">
        <f t="shared" si="89"/>
        <v>30</v>
      </c>
      <c r="AN86" s="1">
        <f t="shared" si="90"/>
        <v>15</v>
      </c>
      <c r="AO86" s="98">
        <f>Summary[[#This Row],[3*2]]+Summary[[#This Row],[3*22]]+Summary[[#This Row],[3*23]]</f>
        <v>57</v>
      </c>
      <c r="AP86" s="97">
        <f>Summary[[#This Row],[2*2]]+Summary[[#This Row],[2*23]]+Summary[[#This Row],[2*24]]</f>
        <v>66</v>
      </c>
      <c r="AQ86" s="97">
        <f>Summary[[#This Row],[1*2]]+Summary[[#This Row],[1*24]]+Summary[[#This Row],[1*25]]</f>
        <v>18</v>
      </c>
      <c r="AR86" s="97">
        <f t="shared" si="91"/>
        <v>19</v>
      </c>
      <c r="AS86" s="97">
        <f t="shared" si="92"/>
        <v>22</v>
      </c>
      <c r="AT86" s="97">
        <f t="shared" si="93"/>
        <v>6</v>
      </c>
      <c r="AU86" s="97">
        <f t="shared" si="94"/>
        <v>19</v>
      </c>
      <c r="AV86" s="97">
        <f t="shared" si="95"/>
        <v>22</v>
      </c>
      <c r="AW86" s="97">
        <f t="shared" si="96"/>
        <v>6</v>
      </c>
      <c r="AX86" s="97">
        <f t="shared" si="97"/>
        <v>19</v>
      </c>
      <c r="AY86" s="97">
        <f t="shared" si="98"/>
        <v>22</v>
      </c>
      <c r="AZ86" s="97">
        <f t="shared" si="99"/>
        <v>6</v>
      </c>
      <c r="BA86" s="83">
        <f>SUM(Summary[[#This Row],[3* (Tal)]],Summary[[#This Row],[3* (Asc)]])</f>
        <v>93</v>
      </c>
      <c r="BB86" s="1">
        <f>SUM(Summary[[#This Row],[2* (Tal)]],Summary[[#This Row],[2* (Asc)]])</f>
        <v>96</v>
      </c>
      <c r="BC86" s="69">
        <f>SUM(Summary[[#This Row],[1* (Tal)]],Summary[[#This Row],[1* (Asc)]])</f>
        <v>33</v>
      </c>
    </row>
    <row r="87" spans="1:55" x14ac:dyDescent="0.25">
      <c r="A87" s="86">
        <f>SUBTOTAL(3,$B$3:B87)</f>
        <v>85</v>
      </c>
      <c r="B87" s="88" t="s">
        <v>251</v>
      </c>
      <c r="C87" s="90" t="s">
        <v>235</v>
      </c>
      <c r="D87" s="16">
        <v>90</v>
      </c>
      <c r="E87" s="11">
        <v>1</v>
      </c>
      <c r="F87" s="2">
        <v>10</v>
      </c>
      <c r="G87" s="12">
        <v>9</v>
      </c>
      <c r="H87" s="83" t="s">
        <v>237</v>
      </c>
      <c r="I87" s="12">
        <f t="shared" si="77"/>
        <v>0</v>
      </c>
      <c r="J87" s="92">
        <f t="shared" si="78"/>
        <v>0</v>
      </c>
      <c r="K87" s="93" t="s">
        <v>128</v>
      </c>
      <c r="L87" s="94">
        <f t="shared" si="79"/>
        <v>22</v>
      </c>
      <c r="M87" s="94">
        <f t="shared" si="80"/>
        <v>21</v>
      </c>
      <c r="N87" s="95">
        <f t="shared" si="81"/>
        <v>3</v>
      </c>
      <c r="O87" s="93">
        <f t="shared" si="100"/>
        <v>22</v>
      </c>
      <c r="P87" s="94">
        <f t="shared" si="101"/>
        <v>21</v>
      </c>
      <c r="Q87" s="94">
        <f t="shared" si="102"/>
        <v>3</v>
      </c>
      <c r="R87" s="94">
        <f t="shared" si="103"/>
        <v>0</v>
      </c>
      <c r="S87" s="94">
        <f t="shared" si="104"/>
        <v>0</v>
      </c>
      <c r="T87" s="94">
        <f t="shared" si="105"/>
        <v>0</v>
      </c>
      <c r="U87" s="94">
        <f t="shared" si="106"/>
        <v>0</v>
      </c>
      <c r="V87" s="94">
        <f t="shared" si="107"/>
        <v>0</v>
      </c>
      <c r="W87" s="95">
        <f t="shared" si="108"/>
        <v>0</v>
      </c>
      <c r="X87" s="10" t="s">
        <v>136</v>
      </c>
      <c r="Y87" s="1" t="s">
        <v>238</v>
      </c>
      <c r="Z87" s="1">
        <f t="shared" si="109"/>
        <v>4</v>
      </c>
      <c r="AA87" s="1">
        <f t="shared" si="110"/>
        <v>0</v>
      </c>
      <c r="AB87" s="1">
        <f t="shared" si="111"/>
        <v>0</v>
      </c>
      <c r="AC87" s="12">
        <f t="shared" si="82"/>
        <v>4</v>
      </c>
      <c r="AD87" s="1" t="s">
        <v>153</v>
      </c>
      <c r="AE87" s="2">
        <f t="shared" si="83"/>
        <v>0</v>
      </c>
      <c r="AF87" s="83" t="s">
        <v>239</v>
      </c>
      <c r="AG87" s="1">
        <f t="shared" si="84"/>
        <v>0</v>
      </c>
      <c r="AH87" s="1">
        <f t="shared" si="85"/>
        <v>0</v>
      </c>
      <c r="AI87" s="1">
        <f t="shared" si="86"/>
        <v>0</v>
      </c>
      <c r="AJ87" s="69">
        <f t="shared" si="87"/>
        <v>0</v>
      </c>
      <c r="AK87" s="83" t="s">
        <v>119</v>
      </c>
      <c r="AL87" s="1">
        <f t="shared" si="88"/>
        <v>0</v>
      </c>
      <c r="AM87" s="1">
        <f t="shared" si="89"/>
        <v>0</v>
      </c>
      <c r="AN87" s="1">
        <f t="shared" si="90"/>
        <v>0</v>
      </c>
      <c r="AO87" s="98">
        <f>Summary[[#This Row],[3*2]]+Summary[[#This Row],[3*22]]+Summary[[#This Row],[3*23]]</f>
        <v>19</v>
      </c>
      <c r="AP87" s="97">
        <f>Summary[[#This Row],[2*2]]+Summary[[#This Row],[2*23]]+Summary[[#This Row],[2*24]]</f>
        <v>22</v>
      </c>
      <c r="AQ87" s="97">
        <f>Summary[[#This Row],[1*2]]+Summary[[#This Row],[1*24]]+Summary[[#This Row],[1*25]]</f>
        <v>6</v>
      </c>
      <c r="AR87" s="97">
        <f t="shared" si="91"/>
        <v>19</v>
      </c>
      <c r="AS87" s="97">
        <f t="shared" si="92"/>
        <v>22</v>
      </c>
      <c r="AT87" s="97">
        <f t="shared" si="93"/>
        <v>6</v>
      </c>
      <c r="AU87" s="97">
        <f t="shared" si="94"/>
        <v>0</v>
      </c>
      <c r="AV87" s="97">
        <f t="shared" si="95"/>
        <v>0</v>
      </c>
      <c r="AW87" s="97">
        <f t="shared" si="96"/>
        <v>0</v>
      </c>
      <c r="AX87" s="97">
        <f t="shared" si="97"/>
        <v>0</v>
      </c>
      <c r="AY87" s="97">
        <f t="shared" si="98"/>
        <v>0</v>
      </c>
      <c r="AZ87" s="97">
        <f t="shared" si="99"/>
        <v>0</v>
      </c>
      <c r="BA87" s="83">
        <f>SUM(Summary[[#This Row],[3* (Tal)]],Summary[[#This Row],[3* (Asc)]])</f>
        <v>19</v>
      </c>
      <c r="BB87" s="1">
        <f>SUM(Summary[[#This Row],[2* (Tal)]],Summary[[#This Row],[2* (Asc)]])</f>
        <v>22</v>
      </c>
      <c r="BC87" s="69">
        <f>SUM(Summary[[#This Row],[1* (Tal)]],Summary[[#This Row],[1* (Asc)]])</f>
        <v>6</v>
      </c>
    </row>
    <row r="88" spans="1:55" x14ac:dyDescent="0.25">
      <c r="A88" s="87"/>
      <c r="B88" s="89"/>
      <c r="C88" s="91"/>
      <c r="D88" s="19"/>
      <c r="E88" s="13"/>
      <c r="F88" s="14"/>
      <c r="G88" s="15"/>
      <c r="H88" s="84" t="s">
        <v>298</v>
      </c>
      <c r="I88" s="15">
        <f>SUBTOTAL(109,Summary[Mats Need])</f>
        <v>1308</v>
      </c>
      <c r="J88" s="19">
        <f>SUBTOTAL(109,Summary[Hero''s Wits])</f>
        <v>11108</v>
      </c>
      <c r="K88" s="13" t="s">
        <v>298</v>
      </c>
      <c r="L88" s="14">
        <f>SUBTOTAL(109,Summary[4* Book])</f>
        <v>3256</v>
      </c>
      <c r="M88" s="14">
        <f>SUBTOTAL(109,Summary[3* Book])</f>
        <v>2682</v>
      </c>
      <c r="N88" s="15">
        <f>SUBTOTAL(109,Summary[2* Book])</f>
        <v>348</v>
      </c>
      <c r="O88" s="13">
        <f>SUBTOTAL(109,Summary[4*])</f>
        <v>1322</v>
      </c>
      <c r="P88" s="14">
        <f>SUBTOTAL(109,Summary[3*])</f>
        <v>1182</v>
      </c>
      <c r="Q88" s="14">
        <f>SUBTOTAL(109,Summary[2*])</f>
        <v>156</v>
      </c>
      <c r="R88" s="14">
        <f>SUBTOTAL(109,Summary[4*2])</f>
        <v>968</v>
      </c>
      <c r="S88" s="14">
        <f>SUBTOTAL(109,Summary[3*3])</f>
        <v>738</v>
      </c>
      <c r="T88" s="14">
        <f>SUBTOTAL(109,Summary[2*4])</f>
        <v>93</v>
      </c>
      <c r="U88" s="14">
        <f>SUBTOTAL(109,Summary[4*5])</f>
        <v>966</v>
      </c>
      <c r="V88" s="14">
        <f>SUBTOTAL(109,Summary[3*6])</f>
        <v>762</v>
      </c>
      <c r="W88" s="15">
        <f>SUBTOTAL(109,Summary[2*7])</f>
        <v>99</v>
      </c>
      <c r="X88" s="13"/>
      <c r="Y88" s="14" t="s">
        <v>298</v>
      </c>
      <c r="Z88" s="14">
        <f>SUBTOTAL(109,Summary[NA9])</f>
        <v>240</v>
      </c>
      <c r="AA88" s="14">
        <f>SUBTOTAL(109,Summary[Skill10])</f>
        <v>175</v>
      </c>
      <c r="AB88" s="14">
        <f>SUBTOTAL(109,Summary[Burst11])</f>
        <v>175</v>
      </c>
      <c r="AC88" s="15">
        <f>SUBTOTAL(109,Summary[Mats Qty])</f>
        <v>590</v>
      </c>
      <c r="AD88" s="80" t="s">
        <v>298</v>
      </c>
      <c r="AE88" s="80">
        <f>SUBTOTAL(109,Summary[Quantity])</f>
        <v>4549</v>
      </c>
      <c r="AF88" s="13" t="s">
        <v>298</v>
      </c>
      <c r="AG88" s="14">
        <f>SUBTOTAL(109,Summary[Gemstone])</f>
        <v>192</v>
      </c>
      <c r="AH88" s="14">
        <f>SUBTOTAL(109,Summary[Chunk])</f>
        <v>246</v>
      </c>
      <c r="AI88" s="14">
        <f>SUBTOTAL(109,Summary[Fragment])</f>
        <v>186</v>
      </c>
      <c r="AJ88" s="15">
        <f>SUBTOTAL(109,Summary[Silver])</f>
        <v>3</v>
      </c>
      <c r="AK88" s="13" t="s">
        <v>298</v>
      </c>
      <c r="AL88" s="14">
        <f>SUBTOTAL(109,Summary[3* (Asc)])</f>
        <v>1104</v>
      </c>
      <c r="AM88" s="14">
        <f>SUBTOTAL(109,Summary[2* (Asc)])</f>
        <v>720</v>
      </c>
      <c r="AN88" s="14">
        <f>SUBTOTAL(109,Summary[1* (Asc)])</f>
        <v>309</v>
      </c>
      <c r="AO88" s="25">
        <f>SUBTOTAL(109,Summary[3* (Tal)])</f>
        <v>2806</v>
      </c>
      <c r="AP88" s="22">
        <f>SUBTOTAL(109,Summary[2* (Tal)])</f>
        <v>2802</v>
      </c>
      <c r="AQ88" s="22">
        <f>SUBTOTAL(109,Summary[1* (Tal)])</f>
        <v>696</v>
      </c>
      <c r="AR88" s="100">
        <f>SUBTOTAL(109,Summary[3*2])</f>
        <v>1139</v>
      </c>
      <c r="AS88" s="100">
        <f>SUBTOTAL(109,Summary[2*2])</f>
        <v>1236</v>
      </c>
      <c r="AT88" s="100">
        <f>SUBTOTAL(109,Summary[1*2])</f>
        <v>312</v>
      </c>
      <c r="AU88" s="100">
        <f>SUBTOTAL(109,Summary[3*22])</f>
        <v>833</v>
      </c>
      <c r="AV88" s="100">
        <f>SUBTOTAL(109,Summary[2*23])</f>
        <v>770</v>
      </c>
      <c r="AW88" s="100">
        <f>SUBTOTAL(109,Summary[1*24])</f>
        <v>186</v>
      </c>
      <c r="AX88" s="100">
        <f>SUBTOTAL(109,Summary[3*23])</f>
        <v>834</v>
      </c>
      <c r="AY88" s="100">
        <f>SUBTOTAL(109,Summary[2*24])</f>
        <v>796</v>
      </c>
      <c r="AZ88" s="100">
        <f>SUBTOTAL(109,Summary[1*25])</f>
        <v>198</v>
      </c>
      <c r="BA88" s="25">
        <f>SUBTOTAL(109,Summary[3* Mats])</f>
        <v>3910</v>
      </c>
      <c r="BB88" s="22">
        <f>SUBTOTAL(109,Summary[2* Mats])</f>
        <v>3522</v>
      </c>
      <c r="BC88" s="96">
        <f>SUBTOTAL(109,Summary[1* Mats])</f>
        <v>1005</v>
      </c>
    </row>
    <row r="89" spans="1:55" x14ac:dyDescent="0.25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D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55" ht="15.75" x14ac:dyDescent="0.25">
      <c r="A90" s="5"/>
      <c r="B90" s="5"/>
      <c r="C90" s="5"/>
      <c r="D90" s="5"/>
      <c r="E90" s="5"/>
      <c r="F90" s="5"/>
      <c r="G90" s="5"/>
      <c r="H90" s="117" t="s">
        <v>299</v>
      </c>
      <c r="I90" s="118"/>
      <c r="J90" s="118"/>
      <c r="K90" s="118"/>
      <c r="L90" s="118"/>
      <c r="M90" s="118"/>
      <c r="N90" s="119"/>
      <c r="O90" s="78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55" x14ac:dyDescent="0.25">
      <c r="G91" s="1"/>
      <c r="H91" s="106" t="s">
        <v>300</v>
      </c>
      <c r="I91" s="107"/>
      <c r="J91">
        <v>1</v>
      </c>
      <c r="K91" t="s">
        <v>301</v>
      </c>
      <c r="L91" s="120"/>
      <c r="M91" s="120"/>
      <c r="N91" s="121"/>
      <c r="O91" s="69"/>
    </row>
    <row r="92" spans="1:55" x14ac:dyDescent="0.25">
      <c r="G92" s="1"/>
      <c r="H92" s="106" t="s">
        <v>302</v>
      </c>
      <c r="I92" s="107"/>
      <c r="J92">
        <f>(60/8)*24</f>
        <v>180</v>
      </c>
      <c r="K92" t="s">
        <v>303</v>
      </c>
      <c r="L92" s="108" t="s">
        <v>304</v>
      </c>
      <c r="M92" s="108"/>
      <c r="N92" s="109"/>
      <c r="O92" s="69"/>
    </row>
    <row r="93" spans="1:55" x14ac:dyDescent="0.25">
      <c r="G93" s="1"/>
      <c r="H93" s="106" t="s">
        <v>305</v>
      </c>
      <c r="I93" s="107"/>
      <c r="J93">
        <v>20</v>
      </c>
      <c r="K93" t="s">
        <v>303</v>
      </c>
      <c r="L93" s="108"/>
      <c r="M93" s="108"/>
      <c r="N93" s="109"/>
      <c r="O93" s="69"/>
    </row>
    <row r="94" spans="1:55" x14ac:dyDescent="0.25">
      <c r="G94" s="1"/>
      <c r="H94" s="106" t="s">
        <v>306</v>
      </c>
      <c r="I94" s="107"/>
      <c r="J94" s="76">
        <f>J92/J93</f>
        <v>9</v>
      </c>
      <c r="K94" t="s">
        <v>307</v>
      </c>
      <c r="L94" s="108" t="s">
        <v>308</v>
      </c>
      <c r="M94" s="108"/>
      <c r="N94" s="109"/>
      <c r="O94" s="69"/>
    </row>
    <row r="95" spans="1:55" x14ac:dyDescent="0.25">
      <c r="G95" s="1"/>
      <c r="H95" s="106" t="s">
        <v>309</v>
      </c>
      <c r="I95" s="107"/>
      <c r="J95" s="76">
        <v>4.5</v>
      </c>
      <c r="K95" t="s">
        <v>310</v>
      </c>
      <c r="L95" s="108"/>
      <c r="M95" s="108"/>
      <c r="N95" s="109"/>
      <c r="O95" s="69"/>
    </row>
    <row r="96" spans="1:55" x14ac:dyDescent="0.25">
      <c r="G96" s="1"/>
      <c r="H96" s="106" t="s">
        <v>311</v>
      </c>
      <c r="I96" s="107"/>
      <c r="J96" s="76">
        <f>J94*J95</f>
        <v>40.5</v>
      </c>
      <c r="K96" t="s">
        <v>310</v>
      </c>
      <c r="L96" s="108" t="s">
        <v>312</v>
      </c>
      <c r="M96" s="108"/>
      <c r="N96" s="109"/>
      <c r="O96" s="69"/>
    </row>
    <row r="97" spans="7:15" x14ac:dyDescent="0.25">
      <c r="G97" s="20"/>
      <c r="H97" s="115" t="s">
        <v>313</v>
      </c>
      <c r="I97" s="116"/>
      <c r="J97" s="72">
        <f>Summary[[#Totals],[Hero''s Wits]]/J96</f>
        <v>274.27160493827159</v>
      </c>
      <c r="K97" s="73" t="s">
        <v>314</v>
      </c>
      <c r="L97" s="108" t="s">
        <v>315</v>
      </c>
      <c r="M97" s="108"/>
      <c r="N97" s="109"/>
      <c r="O97" s="69"/>
    </row>
    <row r="98" spans="7:15" x14ac:dyDescent="0.25">
      <c r="H98" s="113" t="s">
        <v>316</v>
      </c>
      <c r="I98" s="114" t="s">
        <v>316</v>
      </c>
      <c r="J98" s="74">
        <f>J92*J97</f>
        <v>49368.888888888891</v>
      </c>
      <c r="K98" s="21" t="s">
        <v>303</v>
      </c>
      <c r="L98" s="111" t="s">
        <v>317</v>
      </c>
      <c r="M98" s="111"/>
      <c r="N98" s="111"/>
      <c r="O98" s="112"/>
    </row>
  </sheetData>
  <mergeCells count="28">
    <mergeCell ref="L98:O98"/>
    <mergeCell ref="H98:I98"/>
    <mergeCell ref="X1:AC1"/>
    <mergeCell ref="K1:N1"/>
    <mergeCell ref="H97:I97"/>
    <mergeCell ref="L96:N96"/>
    <mergeCell ref="L97:N97"/>
    <mergeCell ref="H90:N90"/>
    <mergeCell ref="L91:N91"/>
    <mergeCell ref="L92:N92"/>
    <mergeCell ref="L93:N93"/>
    <mergeCell ref="L94:N94"/>
    <mergeCell ref="H91:I91"/>
    <mergeCell ref="H92:I92"/>
    <mergeCell ref="H93:I93"/>
    <mergeCell ref="H94:I94"/>
    <mergeCell ref="E1:G1"/>
    <mergeCell ref="H1:I1"/>
    <mergeCell ref="L95:N95"/>
    <mergeCell ref="AD1:AE1"/>
    <mergeCell ref="O1:W1"/>
    <mergeCell ref="AO1:AQ1"/>
    <mergeCell ref="BA1:BC1"/>
    <mergeCell ref="AR1:AZ1"/>
    <mergeCell ref="H95:I95"/>
    <mergeCell ref="H96:I96"/>
    <mergeCell ref="AK1:AN1"/>
    <mergeCell ref="AF1:AJ1"/>
  </mergeCells>
  <phoneticPr fontId="6" type="noConversion"/>
  <conditionalFormatting sqref="H134:H1048576 H90 H99 H3:H87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221-EEEE-4308-995F-040E07A72874}">
  <dimension ref="A1:J42"/>
  <sheetViews>
    <sheetView workbookViewId="0">
      <selection activeCell="C47" sqref="C47"/>
    </sheetView>
  </sheetViews>
  <sheetFormatPr defaultRowHeight="15" x14ac:dyDescent="0.25"/>
  <cols>
    <col min="2" max="2" width="28.5703125" bestFit="1" customWidth="1"/>
    <col min="3" max="3" width="15.42578125" customWidth="1"/>
    <col min="4" max="4" width="16" customWidth="1"/>
    <col min="5" max="5" width="17.42578125" customWidth="1"/>
    <col min="6" max="6" width="12" bestFit="1" customWidth="1"/>
    <col min="10" max="10" width="9.140625" customWidth="1"/>
  </cols>
  <sheetData>
    <row r="1" spans="1:5" x14ac:dyDescent="0.25">
      <c r="A1" t="s">
        <v>0</v>
      </c>
      <c r="B1" s="8" t="s">
        <v>318</v>
      </c>
      <c r="C1" s="8" t="s">
        <v>319</v>
      </c>
      <c r="D1" s="8" t="s">
        <v>320</v>
      </c>
      <c r="E1" s="8" t="s">
        <v>321</v>
      </c>
    </row>
    <row r="2" spans="1:5" hidden="1" x14ac:dyDescent="0.25">
      <c r="A2" s="8">
        <f>SUBTOTAL(3,$B$2:B2)</f>
        <v>0</v>
      </c>
      <c r="B2" s="1" t="s">
        <v>121</v>
      </c>
      <c r="C2" s="8">
        <f>SUMIF(Summary!$H$3:$H$87,'World Boss Mats'!B2,Summary!$I$3:$I$87)</f>
        <v>0</v>
      </c>
      <c r="D2" s="8">
        <v>2</v>
      </c>
      <c r="E2" s="8">
        <f t="shared" ref="E2:E31" si="0">C2-D2</f>
        <v>-2</v>
      </c>
    </row>
    <row r="3" spans="1:5" x14ac:dyDescent="0.25">
      <c r="A3" s="8">
        <f>SUBTOTAL(3,$B$2:B3)</f>
        <v>1</v>
      </c>
      <c r="B3" s="1" t="s">
        <v>83</v>
      </c>
      <c r="C3" s="8">
        <f>SUMIF(Summary!$H$3:$H$87,'World Boss Mats'!B3,Summary!$I$3:$I$87)</f>
        <v>46</v>
      </c>
      <c r="D3" s="8">
        <v>55</v>
      </c>
      <c r="E3" s="8">
        <f t="shared" si="0"/>
        <v>-9</v>
      </c>
    </row>
    <row r="4" spans="1:5" x14ac:dyDescent="0.25">
      <c r="A4" s="8">
        <f>SUBTOTAL(3,$B$2:B4)</f>
        <v>2</v>
      </c>
      <c r="B4" s="1" t="s">
        <v>76</v>
      </c>
      <c r="C4" s="8">
        <f>SUMIF(Summary!$H$3:$H$87,'World Boss Mats'!B4,Summary!$I$3:$I$87)</f>
        <v>46</v>
      </c>
      <c r="D4" s="8">
        <v>4</v>
      </c>
      <c r="E4" s="8">
        <f t="shared" si="0"/>
        <v>42</v>
      </c>
    </row>
    <row r="5" spans="1:5" hidden="1" x14ac:dyDescent="0.25">
      <c r="A5" s="8">
        <f>SUBTOTAL(3,$B$2:B5)</f>
        <v>2</v>
      </c>
      <c r="B5" s="1" t="s">
        <v>185</v>
      </c>
      <c r="C5" s="8">
        <f>SUMIF(Summary!$H$3:$H$87,'World Boss Mats'!B5,Summary!$I$3:$I$87)</f>
        <v>0</v>
      </c>
      <c r="D5" s="8">
        <v>2</v>
      </c>
      <c r="E5" s="8">
        <f t="shared" si="0"/>
        <v>-2</v>
      </c>
    </row>
    <row r="6" spans="1:5" x14ac:dyDescent="0.25">
      <c r="A6" s="8">
        <f>SUBTOTAL(3,$B$2:B6)</f>
        <v>3</v>
      </c>
      <c r="B6" s="1" t="s">
        <v>95</v>
      </c>
      <c r="C6" s="8">
        <f>SUMIF(Summary!$H$3:$H$87,'World Boss Mats'!B6,Summary!$I$3:$I$87)</f>
        <v>46</v>
      </c>
      <c r="D6" s="8">
        <v>10</v>
      </c>
      <c r="E6" s="8">
        <f t="shared" si="0"/>
        <v>36</v>
      </c>
    </row>
    <row r="7" spans="1:5" x14ac:dyDescent="0.25">
      <c r="A7" s="8">
        <f>SUBTOTAL(3,$B$2:B7)</f>
        <v>4</v>
      </c>
      <c r="B7" s="1" t="s">
        <v>161</v>
      </c>
      <c r="C7" s="8">
        <f>SUMIF(Summary!$H$3:$H$87,'World Boss Mats'!B7,Summary!$I$3:$I$87)</f>
        <v>46</v>
      </c>
      <c r="D7" s="8">
        <v>11</v>
      </c>
      <c r="E7" s="8">
        <f t="shared" si="0"/>
        <v>35</v>
      </c>
    </row>
    <row r="8" spans="1:5" x14ac:dyDescent="0.25">
      <c r="A8" s="8">
        <f>SUBTOTAL(3,$B$2:B8)</f>
        <v>5</v>
      </c>
      <c r="B8" s="1" t="s">
        <v>141</v>
      </c>
      <c r="C8" s="8">
        <f>SUMIF(Summary!$H$3:$H$87,'World Boss Mats'!B8,Summary!$I$3:$I$87)</f>
        <v>46</v>
      </c>
      <c r="D8" s="8">
        <v>46</v>
      </c>
      <c r="E8" s="8">
        <f t="shared" si="0"/>
        <v>0</v>
      </c>
    </row>
    <row r="9" spans="1:5" x14ac:dyDescent="0.25">
      <c r="A9" s="8">
        <f>SUBTOTAL(3,$B$2:B9)</f>
        <v>6</v>
      </c>
      <c r="B9" s="1" t="s">
        <v>152</v>
      </c>
      <c r="C9" s="8">
        <f>SUMIF(Summary!$H$3:$H$87,'World Boss Mats'!B9,Summary!$I$3:$I$87)</f>
        <v>202</v>
      </c>
      <c r="D9" s="8">
        <v>204</v>
      </c>
      <c r="E9" s="8">
        <f t="shared" si="0"/>
        <v>-2</v>
      </c>
    </row>
    <row r="10" spans="1:5" x14ac:dyDescent="0.25">
      <c r="A10" s="8">
        <f>SUBTOTAL(3,$B$2:B10)</f>
        <v>7</v>
      </c>
      <c r="B10" s="1" t="s">
        <v>202</v>
      </c>
      <c r="C10" s="8">
        <f>SUMIF(Summary!$H$3:$H$87,'World Boss Mats'!B10,Summary!$I$3:$I$87)</f>
        <v>92</v>
      </c>
      <c r="D10" s="8">
        <v>1</v>
      </c>
      <c r="E10" s="8">
        <f t="shared" si="0"/>
        <v>91</v>
      </c>
    </row>
    <row r="11" spans="1:5" x14ac:dyDescent="0.25">
      <c r="A11" s="8">
        <f>SUBTOTAL(3,$B$2:B11)</f>
        <v>8</v>
      </c>
      <c r="B11" s="1" t="s">
        <v>215</v>
      </c>
      <c r="C11" s="8">
        <f>SUMIF(Summary!$H$3:$H$87,'World Boss Mats'!B11,Summary!$I$3:$I$87)</f>
        <v>124</v>
      </c>
      <c r="D11" s="8">
        <v>125</v>
      </c>
      <c r="E11" s="8">
        <f t="shared" si="0"/>
        <v>-1</v>
      </c>
    </row>
    <row r="12" spans="1:5" x14ac:dyDescent="0.25">
      <c r="A12" s="8">
        <f>SUBTOTAL(3,$B$2:B12)</f>
        <v>9</v>
      </c>
      <c r="B12" s="1" t="s">
        <v>213</v>
      </c>
      <c r="C12" s="8">
        <f>SUMIF(Summary!$H$3:$H$87,'World Boss Mats'!B12,Summary!$I$3:$I$87)</f>
        <v>40</v>
      </c>
      <c r="D12" s="8">
        <v>2</v>
      </c>
      <c r="E12" s="8">
        <f t="shared" si="0"/>
        <v>38</v>
      </c>
    </row>
    <row r="13" spans="1:5" hidden="1" x14ac:dyDescent="0.25">
      <c r="A13" s="8">
        <f>SUBTOTAL(3,$B$2:B13)</f>
        <v>9</v>
      </c>
      <c r="B13" s="1" t="s">
        <v>286</v>
      </c>
      <c r="C13" s="8">
        <f>SUMIF(Summary!$H$3:$H$87,'World Boss Mats'!B13,Summary!$I$3:$I$87)</f>
        <v>0</v>
      </c>
      <c r="D13" s="8">
        <v>11</v>
      </c>
      <c r="E13" s="8">
        <f t="shared" si="0"/>
        <v>-11</v>
      </c>
    </row>
    <row r="14" spans="1:5" hidden="1" x14ac:dyDescent="0.25">
      <c r="A14" s="8">
        <f>SUBTOTAL(3,$B$2:B14)</f>
        <v>9</v>
      </c>
      <c r="B14" s="1" t="s">
        <v>147</v>
      </c>
      <c r="C14" s="8">
        <f>SUMIF(Summary!$H$3:$H$87,'World Boss Mats'!B14,Summary!$I$3:$I$87)</f>
        <v>0</v>
      </c>
      <c r="D14" s="8">
        <v>1</v>
      </c>
      <c r="E14" s="8">
        <f t="shared" si="0"/>
        <v>-1</v>
      </c>
    </row>
    <row r="15" spans="1:5" hidden="1" x14ac:dyDescent="0.25">
      <c r="A15" s="8">
        <f>SUBTOTAL(3,$B$2:B15)</f>
        <v>9</v>
      </c>
      <c r="B15" s="1" t="s">
        <v>237</v>
      </c>
      <c r="C15" s="8">
        <f>SUMIF(Summary!$H$3:$H$87,'World Boss Mats'!B15,Summary!$I$3:$I$87)</f>
        <v>0</v>
      </c>
      <c r="D15" s="8">
        <v>0</v>
      </c>
      <c r="E15" s="8">
        <f t="shared" si="0"/>
        <v>0</v>
      </c>
    </row>
    <row r="16" spans="1:5" x14ac:dyDescent="0.25">
      <c r="A16" s="8">
        <f>SUBTOTAL(3,$B$2:B16)</f>
        <v>10</v>
      </c>
      <c r="B16" s="1" t="s">
        <v>241</v>
      </c>
      <c r="C16" s="8">
        <f>SUMIF(Summary!$H$3:$H$87,'World Boss Mats'!B16,Summary!$I$3:$I$87)</f>
        <v>46</v>
      </c>
      <c r="D16" s="8">
        <v>0</v>
      </c>
      <c r="E16" s="8">
        <f t="shared" si="0"/>
        <v>46</v>
      </c>
    </row>
    <row r="17" spans="1:5" hidden="1" x14ac:dyDescent="0.25">
      <c r="A17" s="8">
        <f>SUBTOTAL(3,$B$2:B17)</f>
        <v>10</v>
      </c>
      <c r="B17" s="1" t="s">
        <v>264</v>
      </c>
      <c r="C17" s="8">
        <f>SUMIF(Summary!$H$3:$H$87,'World Boss Mats'!B17,Summary!$I$3:$I$87)</f>
        <v>0</v>
      </c>
      <c r="D17" s="8">
        <v>2</v>
      </c>
      <c r="E17" s="8">
        <f t="shared" si="0"/>
        <v>-2</v>
      </c>
    </row>
    <row r="18" spans="1:5" hidden="1" x14ac:dyDescent="0.25">
      <c r="A18" s="8">
        <f>SUBTOTAL(3,$B$2:B18)</f>
        <v>10</v>
      </c>
      <c r="B18" s="1" t="s">
        <v>260</v>
      </c>
      <c r="C18" s="8">
        <f>SUMIF(Summary!$H$3:$H$87,'World Boss Mats'!B18,Summary!$I$3:$I$87)</f>
        <v>0</v>
      </c>
      <c r="D18" s="8">
        <v>1</v>
      </c>
      <c r="E18" s="8">
        <f t="shared" si="0"/>
        <v>-1</v>
      </c>
    </row>
    <row r="19" spans="1:5" x14ac:dyDescent="0.25">
      <c r="A19" s="8">
        <f>SUBTOTAL(3,$B$2:B19)</f>
        <v>11</v>
      </c>
      <c r="B19" s="1" t="s">
        <v>196</v>
      </c>
      <c r="C19" s="8">
        <f>SUMIF(Summary!$H$3:$H$87,'World Boss Mats'!B19,Summary!$I$3:$I$87)</f>
        <v>46</v>
      </c>
      <c r="D19" s="8">
        <v>4</v>
      </c>
      <c r="E19" s="8">
        <f t="shared" si="0"/>
        <v>42</v>
      </c>
    </row>
    <row r="20" spans="1:5" x14ac:dyDescent="0.25">
      <c r="A20" s="8">
        <f>SUBTOTAL(3,$B$2:B20)</f>
        <v>12</v>
      </c>
      <c r="B20" s="1" t="s">
        <v>199</v>
      </c>
      <c r="C20" s="8">
        <f>SUMIF(Summary!$H$3:$H$87,'World Boss Mats'!B20,Summary!$I$3:$I$87)</f>
        <v>92</v>
      </c>
      <c r="D20" s="8">
        <v>93</v>
      </c>
      <c r="E20" s="8">
        <f t="shared" si="0"/>
        <v>-1</v>
      </c>
    </row>
    <row r="21" spans="1:5" x14ac:dyDescent="0.25">
      <c r="A21" s="8">
        <f>SUBTOTAL(3,$B$2:B21)</f>
        <v>13</v>
      </c>
      <c r="B21" s="1" t="s">
        <v>88</v>
      </c>
      <c r="C21" s="8">
        <f>SUMIF(Summary!$H$3:$H$87,'World Boss Mats'!B21,Summary!$I$3:$I$87)</f>
        <v>46</v>
      </c>
      <c r="D21" s="8">
        <v>0</v>
      </c>
      <c r="E21" s="8">
        <f t="shared" si="0"/>
        <v>46</v>
      </c>
    </row>
    <row r="22" spans="1:5" hidden="1" x14ac:dyDescent="0.25">
      <c r="A22" s="8">
        <f>SUBTOTAL(3,$B$2:B22)</f>
        <v>13</v>
      </c>
      <c r="B22" s="1" t="s">
        <v>268</v>
      </c>
      <c r="C22" s="8">
        <f>SUMIF(Summary!$H$3:$H$87,'World Boss Mats'!B22,Summary!$I$3:$I$87)</f>
        <v>0</v>
      </c>
      <c r="D22" s="8">
        <v>0</v>
      </c>
      <c r="E22" s="8">
        <f t="shared" si="0"/>
        <v>0</v>
      </c>
    </row>
    <row r="23" spans="1:5" hidden="1" x14ac:dyDescent="0.25">
      <c r="A23" s="8">
        <f>SUBTOTAL(3,$B$2:B23)</f>
        <v>13</v>
      </c>
      <c r="B23" s="1" t="s">
        <v>254</v>
      </c>
      <c r="C23" s="8">
        <f>SUMIF(Summary!$H$3:$H$87,'World Boss Mats'!B23,Summary!$I$3:$I$87)</f>
        <v>0</v>
      </c>
      <c r="D23" s="8">
        <v>1</v>
      </c>
      <c r="E23" s="8">
        <f t="shared" si="0"/>
        <v>-1</v>
      </c>
    </row>
    <row r="24" spans="1:5" x14ac:dyDescent="0.25">
      <c r="A24" s="8">
        <f>SUBTOTAL(3,$B$2:B24)</f>
        <v>14</v>
      </c>
      <c r="B24" s="1" t="s">
        <v>168</v>
      </c>
      <c r="C24" s="8">
        <f>SUMIF(Summary!$H$3:$H$87,'World Boss Mats'!B24,Summary!$I$3:$I$87)</f>
        <v>46</v>
      </c>
      <c r="D24" s="8">
        <v>0</v>
      </c>
      <c r="E24" s="8">
        <f t="shared" si="0"/>
        <v>46</v>
      </c>
    </row>
    <row r="25" spans="1:5" x14ac:dyDescent="0.25">
      <c r="A25" s="8">
        <f>SUBTOTAL(3,$B$2:B25)</f>
        <v>15</v>
      </c>
      <c r="B25" s="1" t="s">
        <v>134</v>
      </c>
      <c r="C25" s="8">
        <f>SUMIF(Summary!$H$3:$H$87,'World Boss Mats'!B25,Summary!$I$3:$I$87)</f>
        <v>20</v>
      </c>
      <c r="D25" s="8">
        <v>21</v>
      </c>
      <c r="E25" s="8">
        <f t="shared" si="0"/>
        <v>-1</v>
      </c>
    </row>
    <row r="26" spans="1:5" x14ac:dyDescent="0.25">
      <c r="A26" s="8">
        <f>SUBTOTAL(3,$B$2:B26)</f>
        <v>16</v>
      </c>
      <c r="B26" s="1" t="s">
        <v>292</v>
      </c>
      <c r="C26" s="8">
        <f>SUMIF(Summary!$H$3:$H$87,'World Boss Mats'!B26,Summary!$I$3:$I$87)</f>
        <v>46</v>
      </c>
      <c r="D26" s="8">
        <v>0</v>
      </c>
      <c r="E26" s="8">
        <f t="shared" si="0"/>
        <v>46</v>
      </c>
    </row>
    <row r="27" spans="1:5" x14ac:dyDescent="0.25">
      <c r="A27" s="8">
        <f>SUBTOTAL(3,$B$2:B27)</f>
        <v>17</v>
      </c>
      <c r="B27" s="1" t="s">
        <v>279</v>
      </c>
      <c r="C27" s="8">
        <f>SUMIF(Summary!$H$3:$H$87,'World Boss Mats'!B27,Summary!$I$3:$I$87)</f>
        <v>132</v>
      </c>
      <c r="D27" s="8">
        <v>135</v>
      </c>
      <c r="E27" s="8">
        <f t="shared" si="0"/>
        <v>-3</v>
      </c>
    </row>
    <row r="28" spans="1:5" x14ac:dyDescent="0.25">
      <c r="A28" s="8">
        <f>SUBTOTAL(3,$B$2:B28)</f>
        <v>18</v>
      </c>
      <c r="B28" s="1" t="s">
        <v>102</v>
      </c>
      <c r="C28" s="8">
        <f>SUMIF(Summary!$H$3:$H$87,'World Boss Mats'!B28,Summary!$I$3:$I$87)</f>
        <v>40</v>
      </c>
      <c r="D28" s="8">
        <v>6</v>
      </c>
      <c r="E28" s="8">
        <f t="shared" si="0"/>
        <v>34</v>
      </c>
    </row>
    <row r="29" spans="1:5" x14ac:dyDescent="0.25">
      <c r="A29" s="8">
        <f>SUBTOTAL(3,$B$2:B29)</f>
        <v>19</v>
      </c>
      <c r="B29" s="1" t="s">
        <v>177</v>
      </c>
      <c r="C29" s="8">
        <f>SUMIF(Summary!$H$3:$H$87,'World Boss Mats'!B29,Summary!$I$3:$I$87)</f>
        <v>40</v>
      </c>
      <c r="D29" s="8">
        <v>3</v>
      </c>
      <c r="E29" s="8">
        <f t="shared" si="0"/>
        <v>37</v>
      </c>
    </row>
    <row r="30" spans="1:5" x14ac:dyDescent="0.25">
      <c r="A30" s="8">
        <f>SUBTOTAL(3,$B$2:B30)</f>
        <v>20</v>
      </c>
      <c r="B30" s="1" t="s">
        <v>127</v>
      </c>
      <c r="C30" s="8">
        <f>SUMIF(Summary!$H$3:$H$87,'World Boss Mats'!B30,Summary!$I$3:$I$87)</f>
        <v>20</v>
      </c>
      <c r="D30" s="8">
        <v>20</v>
      </c>
      <c r="E30" s="8">
        <f t="shared" si="0"/>
        <v>0</v>
      </c>
    </row>
    <row r="31" spans="1:5" x14ac:dyDescent="0.25">
      <c r="A31" s="8">
        <f>SUBTOTAL(3,$B$2:B31)</f>
        <v>21</v>
      </c>
      <c r="B31" s="1" t="s">
        <v>225</v>
      </c>
      <c r="C31" s="8">
        <f>SUMIF(Summary!$H$3:$H$87,'World Boss Mats'!B31,Summary!$I$3:$I$87)</f>
        <v>46</v>
      </c>
      <c r="D31" s="8">
        <v>1</v>
      </c>
      <c r="E31" s="8">
        <f t="shared" si="0"/>
        <v>45</v>
      </c>
    </row>
    <row r="32" spans="1:5" x14ac:dyDescent="0.25">
      <c r="A32" s="8" t="s">
        <v>298</v>
      </c>
      <c r="B32" s="1"/>
      <c r="C32" s="8">
        <f>SUBTOTAL(109,World_Boss[Mats Needed])</f>
        <v>1308</v>
      </c>
      <c r="D32" s="8">
        <f>SUBTOTAL(109,World_Boss[Mats Acquired])</f>
        <v>741</v>
      </c>
      <c r="E32" s="8">
        <f>SUMIF(E2:E31,"&gt;=0")</f>
        <v>584</v>
      </c>
    </row>
    <row r="33" spans="2:10" x14ac:dyDescent="0.25">
      <c r="B33" s="17"/>
      <c r="C33" s="4"/>
      <c r="D33" s="4"/>
      <c r="E33" s="4"/>
    </row>
    <row r="34" spans="2:10" x14ac:dyDescent="0.25">
      <c r="B34" s="122" t="s">
        <v>322</v>
      </c>
      <c r="C34" s="123"/>
      <c r="D34" s="123"/>
      <c r="E34" s="123"/>
      <c r="F34" s="123"/>
      <c r="G34" s="123"/>
      <c r="H34" s="123"/>
      <c r="I34" s="123"/>
      <c r="J34" s="124"/>
    </row>
    <row r="35" spans="2:10" x14ac:dyDescent="0.25">
      <c r="B35" s="106" t="s">
        <v>300</v>
      </c>
      <c r="C35" s="107"/>
      <c r="D35" s="107"/>
      <c r="E35">
        <v>1</v>
      </c>
      <c r="F35" t="s">
        <v>301</v>
      </c>
      <c r="G35" s="108"/>
      <c r="H35" s="108"/>
      <c r="I35" s="108"/>
      <c r="J35" s="109"/>
    </row>
    <row r="36" spans="2:10" x14ac:dyDescent="0.25">
      <c r="B36" s="106" t="s">
        <v>302</v>
      </c>
      <c r="C36" s="107"/>
      <c r="D36" s="107"/>
      <c r="E36">
        <f>(60/8)*24</f>
        <v>180</v>
      </c>
      <c r="F36" t="s">
        <v>303</v>
      </c>
      <c r="G36" s="108" t="s">
        <v>304</v>
      </c>
      <c r="H36" s="108"/>
      <c r="I36" s="108"/>
      <c r="J36" s="109"/>
    </row>
    <row r="37" spans="2:10" x14ac:dyDescent="0.25">
      <c r="B37" s="106" t="s">
        <v>323</v>
      </c>
      <c r="C37" s="107"/>
      <c r="D37" s="107"/>
      <c r="E37">
        <v>40</v>
      </c>
      <c r="F37" t="s">
        <v>303</v>
      </c>
      <c r="G37" s="108"/>
      <c r="H37" s="108"/>
      <c r="I37" s="108"/>
      <c r="J37" s="109"/>
    </row>
    <row r="38" spans="2:10" x14ac:dyDescent="0.25">
      <c r="B38" s="106" t="s">
        <v>324</v>
      </c>
      <c r="C38" s="107"/>
      <c r="D38" s="107"/>
      <c r="E38" s="76">
        <f>E36/E37</f>
        <v>4.5</v>
      </c>
      <c r="F38" t="s">
        <v>307</v>
      </c>
      <c r="G38" s="108" t="s">
        <v>308</v>
      </c>
      <c r="H38" s="108"/>
      <c r="I38" s="108"/>
      <c r="J38" s="109"/>
    </row>
    <row r="39" spans="2:10" x14ac:dyDescent="0.25">
      <c r="B39" s="106" t="s">
        <v>325</v>
      </c>
      <c r="C39" s="107"/>
      <c r="D39" s="107"/>
      <c r="E39" s="76">
        <v>2.5</v>
      </c>
      <c r="F39" t="s">
        <v>326</v>
      </c>
      <c r="G39" s="108"/>
      <c r="H39" s="108"/>
      <c r="I39" s="108"/>
      <c r="J39" s="109"/>
    </row>
    <row r="40" spans="2:10" x14ac:dyDescent="0.25">
      <c r="B40" s="106" t="s">
        <v>327</v>
      </c>
      <c r="C40" s="107"/>
      <c r="D40" s="107"/>
      <c r="E40" s="76">
        <f>E38*E39</f>
        <v>11.25</v>
      </c>
      <c r="F40" t="s">
        <v>326</v>
      </c>
      <c r="G40" s="108" t="s">
        <v>312</v>
      </c>
      <c r="H40" s="108"/>
      <c r="I40" s="108"/>
      <c r="J40" s="109"/>
    </row>
    <row r="41" spans="2:10" x14ac:dyDescent="0.25">
      <c r="B41" s="115" t="s">
        <v>328</v>
      </c>
      <c r="C41" s="116"/>
      <c r="D41" s="116"/>
      <c r="E41" s="72">
        <f>World_Boss[[#Totals],[Remaining Mats]]/E40</f>
        <v>51.911111111111111</v>
      </c>
      <c r="F41" s="73" t="s">
        <v>314</v>
      </c>
      <c r="G41" s="108" t="s">
        <v>329</v>
      </c>
      <c r="H41" s="108"/>
      <c r="I41" s="108"/>
      <c r="J41" s="109"/>
    </row>
    <row r="42" spans="2:10" x14ac:dyDescent="0.25">
      <c r="B42" s="113" t="s">
        <v>316</v>
      </c>
      <c r="C42" s="114"/>
      <c r="D42" s="114"/>
      <c r="E42" s="74">
        <f>E36*E41</f>
        <v>9344</v>
      </c>
      <c r="F42" s="21" t="s">
        <v>303</v>
      </c>
      <c r="G42" s="111" t="s">
        <v>317</v>
      </c>
      <c r="H42" s="111"/>
      <c r="I42" s="111"/>
      <c r="J42" s="112"/>
    </row>
  </sheetData>
  <mergeCells count="17">
    <mergeCell ref="B34:J34"/>
    <mergeCell ref="G35:J35"/>
    <mergeCell ref="G36:J36"/>
    <mergeCell ref="G37:J37"/>
    <mergeCell ref="G38:J38"/>
    <mergeCell ref="B38:D38"/>
    <mergeCell ref="B35:D35"/>
    <mergeCell ref="B36:D36"/>
    <mergeCell ref="B37:D37"/>
    <mergeCell ref="B42:D42"/>
    <mergeCell ref="G42:J42"/>
    <mergeCell ref="G40:J40"/>
    <mergeCell ref="G41:J41"/>
    <mergeCell ref="G39:J39"/>
    <mergeCell ref="B39:D39"/>
    <mergeCell ref="B40:D40"/>
    <mergeCell ref="B41:D41"/>
  </mergeCells>
  <conditionalFormatting sqref="B2">
    <cfRule type="colorScale" priority="1">
      <colorScale>
        <cfvo type="min"/>
        <cfvo type="max"/>
        <color rgb="FF63BE7B"/>
        <color rgb="FFFCFCFF"/>
      </colorScale>
    </cfRule>
  </conditionalFormatting>
  <conditionalFormatting sqref="B3:B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28D-BCE7-4F87-8C14-89EDC18292AB}">
  <dimension ref="A1:T32"/>
  <sheetViews>
    <sheetView workbookViewId="0">
      <selection activeCell="J19" sqref="J19"/>
    </sheetView>
  </sheetViews>
  <sheetFormatPr defaultRowHeight="15" x14ac:dyDescent="0.25"/>
  <cols>
    <col min="2" max="2" width="13.85546875" customWidth="1"/>
    <col min="3" max="3" width="12.7109375" customWidth="1"/>
    <col min="11" max="11" width="9.140625" customWidth="1"/>
  </cols>
  <sheetData>
    <row r="1" spans="1:12" x14ac:dyDescent="0.25">
      <c r="A1" s="128" t="s">
        <v>330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</row>
    <row r="2" spans="1:12" x14ac:dyDescent="0.25">
      <c r="A2" s="34"/>
      <c r="B2" s="34"/>
      <c r="C2" s="28"/>
      <c r="D2" s="138" t="s">
        <v>331</v>
      </c>
      <c r="E2" s="138"/>
      <c r="F2" s="139"/>
      <c r="G2" s="137" t="s">
        <v>332</v>
      </c>
      <c r="H2" s="138"/>
      <c r="I2" s="139"/>
      <c r="J2" s="137" t="s">
        <v>333</v>
      </c>
      <c r="K2" s="138"/>
      <c r="L2" s="139"/>
    </row>
    <row r="3" spans="1:12" x14ac:dyDescent="0.25">
      <c r="A3" s="35" t="s">
        <v>0</v>
      </c>
      <c r="B3" s="35" t="s">
        <v>334</v>
      </c>
      <c r="C3" s="31" t="s">
        <v>335</v>
      </c>
      <c r="D3" s="134" t="s">
        <v>336</v>
      </c>
      <c r="E3" s="134"/>
      <c r="F3" s="135"/>
      <c r="G3" s="136" t="s">
        <v>336</v>
      </c>
      <c r="H3" s="134"/>
      <c r="I3" s="135"/>
      <c r="J3" s="136" t="s">
        <v>336</v>
      </c>
      <c r="K3" s="134"/>
      <c r="L3" s="135"/>
    </row>
    <row r="4" spans="1:12" x14ac:dyDescent="0.25">
      <c r="A4" s="32" t="s">
        <v>0</v>
      </c>
      <c r="B4" s="32" t="s">
        <v>334</v>
      </c>
      <c r="C4" s="32" t="s">
        <v>335</v>
      </c>
      <c r="D4" s="8" t="s">
        <v>25</v>
      </c>
      <c r="E4" s="8" t="s">
        <v>26</v>
      </c>
      <c r="F4" s="30" t="s">
        <v>27</v>
      </c>
      <c r="G4" s="29" t="s">
        <v>337</v>
      </c>
      <c r="H4" s="8" t="s">
        <v>338</v>
      </c>
      <c r="I4" s="30" t="s">
        <v>339</v>
      </c>
      <c r="J4" s="29" t="s">
        <v>340</v>
      </c>
      <c r="K4" s="8" t="s">
        <v>341</v>
      </c>
      <c r="L4" s="30" t="s">
        <v>342</v>
      </c>
    </row>
    <row r="5" spans="1:12" x14ac:dyDescent="0.25">
      <c r="A5" s="40">
        <v>1</v>
      </c>
      <c r="B5" s="40" t="s">
        <v>343</v>
      </c>
      <c r="C5" s="41" t="s">
        <v>116</v>
      </c>
      <c r="D5" s="42">
        <f>SUMIF(Summary!$K$3:$K$87,'Talent Books'!C5,Summary!$L$3:$L$87)</f>
        <v>352</v>
      </c>
      <c r="E5" s="42">
        <f>SUMIF(Summary!$K$3:$K$87,'Talent Books'!C5,Summary!$M$3:$M$87)</f>
        <v>336</v>
      </c>
      <c r="F5" s="43">
        <f>SUMIF(Summary!$K$3:$K$87,'Talent Books'!C5,Summary!$N$3:$N$87)</f>
        <v>48</v>
      </c>
      <c r="G5" s="44"/>
      <c r="H5" s="42">
        <v>2</v>
      </c>
      <c r="I5" s="43">
        <v>7</v>
      </c>
      <c r="J5" s="44">
        <f t="shared" ref="J5:J20" si="0">D5-G5</f>
        <v>352</v>
      </c>
      <c r="K5" s="42">
        <f t="shared" ref="K5:K20" si="1">E5-H5</f>
        <v>334</v>
      </c>
      <c r="L5" s="43">
        <f t="shared" ref="L5:L20" si="2">F5-I5</f>
        <v>41</v>
      </c>
    </row>
    <row r="6" spans="1:12" x14ac:dyDescent="0.25">
      <c r="A6" s="40">
        <v>2</v>
      </c>
      <c r="B6" s="40" t="s">
        <v>343</v>
      </c>
      <c r="C6" s="41" t="s">
        <v>112</v>
      </c>
      <c r="D6" s="42">
        <f>SUMIF(Summary!$K$3:$K$87,'Talent Books'!C6,Summary!$L$3:$L$87)</f>
        <v>298</v>
      </c>
      <c r="E6" s="42">
        <f>SUMIF(Summary!$K$3:$K$87,'Talent Books'!C6,Summary!$M$3:$M$87)</f>
        <v>249</v>
      </c>
      <c r="F6" s="43">
        <f>SUMIF(Summary!$K$3:$K$87,'Talent Books'!C6,Summary!$N$3:$N$87)</f>
        <v>24</v>
      </c>
      <c r="G6" s="44">
        <v>27</v>
      </c>
      <c r="H6" s="42">
        <v>35</v>
      </c>
      <c r="I6" s="43">
        <v>16</v>
      </c>
      <c r="J6" s="44">
        <f t="shared" si="0"/>
        <v>271</v>
      </c>
      <c r="K6" s="42">
        <f t="shared" si="1"/>
        <v>214</v>
      </c>
      <c r="L6" s="43">
        <f t="shared" si="2"/>
        <v>8</v>
      </c>
    </row>
    <row r="7" spans="1:12" x14ac:dyDescent="0.25">
      <c r="A7" s="40">
        <v>3</v>
      </c>
      <c r="B7" s="40" t="s">
        <v>343</v>
      </c>
      <c r="C7" s="41" t="s">
        <v>84</v>
      </c>
      <c r="D7" s="42">
        <f>SUMIF(Summary!$K$3:$K$87,'Talent Books'!C7,Summary!$L$3:$L$87)</f>
        <v>340</v>
      </c>
      <c r="E7" s="42">
        <f>SUMIF(Summary!$K$3:$K$87,'Talent Books'!C7,Summary!$M$3:$M$87)</f>
        <v>240</v>
      </c>
      <c r="F7" s="43">
        <f>SUMIF(Summary!$K$3:$K$87,'Talent Books'!C7,Summary!$N$3:$N$87)</f>
        <v>33</v>
      </c>
      <c r="G7" s="44">
        <v>22</v>
      </c>
      <c r="H7" s="42">
        <v>10</v>
      </c>
      <c r="I7" s="43">
        <v>8</v>
      </c>
      <c r="J7" s="44">
        <f t="shared" si="0"/>
        <v>318</v>
      </c>
      <c r="K7" s="42">
        <f t="shared" si="1"/>
        <v>230</v>
      </c>
      <c r="L7" s="43">
        <f t="shared" si="2"/>
        <v>25</v>
      </c>
    </row>
    <row r="8" spans="1:12" x14ac:dyDescent="0.25">
      <c r="A8" s="45">
        <v>4</v>
      </c>
      <c r="B8" s="45" t="s">
        <v>344</v>
      </c>
      <c r="C8" s="46" t="s">
        <v>135</v>
      </c>
      <c r="D8" s="47">
        <f>SUMIF(Summary!$K$3:$K$87,'Talent Books'!C8,Summary!$L$3:$L$87)</f>
        <v>212</v>
      </c>
      <c r="E8" s="47">
        <f>SUMIF(Summary!$K$3:$K$87,'Talent Books'!C8,Summary!$M$3:$M$87)</f>
        <v>99</v>
      </c>
      <c r="F8" s="48">
        <f>SUMIF(Summary!$K$3:$K$87,'Talent Books'!C8,Summary!$N$3:$N$87)</f>
        <v>6</v>
      </c>
      <c r="G8" s="49">
        <v>3</v>
      </c>
      <c r="H8" s="47">
        <v>29</v>
      </c>
      <c r="I8" s="48">
        <v>25</v>
      </c>
      <c r="J8" s="49">
        <f t="shared" si="0"/>
        <v>209</v>
      </c>
      <c r="K8" s="47">
        <f t="shared" si="1"/>
        <v>70</v>
      </c>
      <c r="L8" s="48">
        <f t="shared" si="2"/>
        <v>-19</v>
      </c>
    </row>
    <row r="9" spans="1:12" x14ac:dyDescent="0.25">
      <c r="A9" s="45">
        <v>5</v>
      </c>
      <c r="B9" s="45" t="s">
        <v>344</v>
      </c>
      <c r="C9" s="46" t="s">
        <v>89</v>
      </c>
      <c r="D9" s="47">
        <f>SUMIF(Summary!$K$3:$K$87,'Talent Books'!C9,Summary!$L$3:$L$87)</f>
        <v>254</v>
      </c>
      <c r="E9" s="47">
        <f>SUMIF(Summary!$K$3:$K$87,'Talent Books'!C9,Summary!$M$3:$M$87)</f>
        <v>231</v>
      </c>
      <c r="F9" s="48">
        <f>SUMIF(Summary!$K$3:$K$87,'Talent Books'!C9,Summary!$N$3:$N$87)</f>
        <v>33</v>
      </c>
      <c r="G9" s="49">
        <v>5</v>
      </c>
      <c r="H9" s="47">
        <v>70</v>
      </c>
      <c r="I9" s="48">
        <v>121</v>
      </c>
      <c r="J9" s="49">
        <f t="shared" si="0"/>
        <v>249</v>
      </c>
      <c r="K9" s="47">
        <f t="shared" si="1"/>
        <v>161</v>
      </c>
      <c r="L9" s="48">
        <f t="shared" si="2"/>
        <v>-88</v>
      </c>
    </row>
    <row r="10" spans="1:12" x14ac:dyDescent="0.25">
      <c r="A10" s="45">
        <v>6</v>
      </c>
      <c r="B10" s="45" t="s">
        <v>344</v>
      </c>
      <c r="C10" s="46" t="s">
        <v>128</v>
      </c>
      <c r="D10" s="47">
        <f>SUMIF(Summary!$K$3:$K$87,'Talent Books'!C10,Summary!$L$3:$L$87)</f>
        <v>330</v>
      </c>
      <c r="E10" s="47">
        <f>SUMIF(Summary!$K$3:$K$87,'Talent Books'!C10,Summary!$M$3:$M$87)</f>
        <v>297</v>
      </c>
      <c r="F10" s="48">
        <f>SUMIF(Summary!$K$3:$K$87,'Talent Books'!C10,Summary!$N$3:$N$87)</f>
        <v>36</v>
      </c>
      <c r="G10" s="49">
        <v>5</v>
      </c>
      <c r="H10" s="47">
        <v>37</v>
      </c>
      <c r="I10" s="48">
        <v>160</v>
      </c>
      <c r="J10" s="49">
        <f t="shared" si="0"/>
        <v>325</v>
      </c>
      <c r="K10" s="47">
        <f t="shared" si="1"/>
        <v>260</v>
      </c>
      <c r="L10" s="48">
        <f t="shared" si="2"/>
        <v>-124</v>
      </c>
    </row>
    <row r="11" spans="1:12" x14ac:dyDescent="0.25">
      <c r="A11" s="55">
        <v>7</v>
      </c>
      <c r="B11" s="55" t="s">
        <v>345</v>
      </c>
      <c r="C11" s="56" t="s">
        <v>169</v>
      </c>
      <c r="D11" s="57">
        <f>SUMIF(Summary!$K$3:$K$87,'Talent Books'!C11,Summary!$L$3:$L$87)</f>
        <v>110</v>
      </c>
      <c r="E11" s="57">
        <f>SUMIF(Summary!$K$3:$K$87,'Talent Books'!C11,Summary!$M$3:$M$87)</f>
        <v>84</v>
      </c>
      <c r="F11" s="58">
        <f>SUMIF(Summary!$K$3:$K$87,'Talent Books'!C11,Summary!$N$3:$N$87)</f>
        <v>12</v>
      </c>
      <c r="G11" s="59">
        <v>3</v>
      </c>
      <c r="H11" s="57">
        <v>46</v>
      </c>
      <c r="I11" s="58">
        <v>41</v>
      </c>
      <c r="J11" s="59">
        <f t="shared" si="0"/>
        <v>107</v>
      </c>
      <c r="K11" s="57">
        <f t="shared" si="1"/>
        <v>38</v>
      </c>
      <c r="L11" s="58">
        <f t="shared" si="2"/>
        <v>-29</v>
      </c>
    </row>
    <row r="12" spans="1:12" x14ac:dyDescent="0.25">
      <c r="A12" s="55">
        <v>8</v>
      </c>
      <c r="B12" s="55" t="s">
        <v>345</v>
      </c>
      <c r="C12" s="56" t="s">
        <v>103</v>
      </c>
      <c r="D12" s="57">
        <f>SUMIF(Summary!$K$3:$K$87,'Talent Books'!C12,Summary!$L$3:$L$87)</f>
        <v>242</v>
      </c>
      <c r="E12" s="57">
        <f>SUMIF(Summary!$K$3:$K$87,'Talent Books'!C12,Summary!$M$3:$M$87)</f>
        <v>231</v>
      </c>
      <c r="F12" s="58">
        <f>SUMIF(Summary!$K$3:$K$87,'Talent Books'!C12,Summary!$N$3:$N$87)</f>
        <v>33</v>
      </c>
      <c r="G12" s="59">
        <v>3</v>
      </c>
      <c r="H12" s="57">
        <v>13</v>
      </c>
      <c r="I12" s="58">
        <v>47</v>
      </c>
      <c r="J12" s="59">
        <f t="shared" si="0"/>
        <v>239</v>
      </c>
      <c r="K12" s="57">
        <f t="shared" si="1"/>
        <v>218</v>
      </c>
      <c r="L12" s="58">
        <f t="shared" si="2"/>
        <v>-14</v>
      </c>
    </row>
    <row r="13" spans="1:12" x14ac:dyDescent="0.25">
      <c r="A13" s="55">
        <v>9</v>
      </c>
      <c r="B13" s="55" t="s">
        <v>345</v>
      </c>
      <c r="C13" s="56" t="s">
        <v>108</v>
      </c>
      <c r="D13" s="57">
        <f>SUMIF(Summary!$K$3:$K$87,'Talent Books'!C13,Summary!$L$3:$L$87)</f>
        <v>154</v>
      </c>
      <c r="E13" s="57">
        <f>SUMIF(Summary!$K$3:$K$87,'Talent Books'!C13,Summary!$M$3:$M$87)</f>
        <v>147</v>
      </c>
      <c r="F13" s="58">
        <f>SUMIF(Summary!$K$3:$K$87,'Talent Books'!C13,Summary!$N$3:$N$87)</f>
        <v>21</v>
      </c>
      <c r="G13" s="59">
        <v>8</v>
      </c>
      <c r="H13" s="57">
        <v>66</v>
      </c>
      <c r="I13" s="58">
        <v>17</v>
      </c>
      <c r="J13" s="59">
        <f t="shared" si="0"/>
        <v>146</v>
      </c>
      <c r="K13" s="57">
        <f t="shared" si="1"/>
        <v>81</v>
      </c>
      <c r="L13" s="58">
        <f t="shared" si="2"/>
        <v>4</v>
      </c>
    </row>
    <row r="14" spans="1:12" x14ac:dyDescent="0.25">
      <c r="A14" s="50">
        <v>10</v>
      </c>
      <c r="B14" s="50" t="s">
        <v>346</v>
      </c>
      <c r="C14" s="51" t="s">
        <v>122</v>
      </c>
      <c r="D14" s="52">
        <f>SUMIF(Summary!$K$3:$K$87,'Talent Books'!C14,Summary!$L$3:$L$87)</f>
        <v>66</v>
      </c>
      <c r="E14" s="52">
        <f>SUMIF(Summary!$K$3:$K$87,'Talent Books'!C14,Summary!$M$3:$M$87)</f>
        <v>63</v>
      </c>
      <c r="F14" s="53">
        <f>SUMIF(Summary!$K$3:$K$87,'Talent Books'!C14,Summary!$N$3:$N$87)</f>
        <v>9</v>
      </c>
      <c r="G14" s="54">
        <v>36</v>
      </c>
      <c r="H14" s="52">
        <v>23</v>
      </c>
      <c r="I14" s="53">
        <v>21</v>
      </c>
      <c r="J14" s="54">
        <f t="shared" si="0"/>
        <v>30</v>
      </c>
      <c r="K14" s="52">
        <f t="shared" si="1"/>
        <v>40</v>
      </c>
      <c r="L14" s="53">
        <f t="shared" si="2"/>
        <v>-12</v>
      </c>
    </row>
    <row r="15" spans="1:12" x14ac:dyDescent="0.25">
      <c r="A15" s="50">
        <v>11</v>
      </c>
      <c r="B15" s="50" t="s">
        <v>346</v>
      </c>
      <c r="C15" s="51" t="s">
        <v>173</v>
      </c>
      <c r="D15" s="52">
        <f>SUMIF(Summary!$K$3:$K$87,'Talent Books'!C15,Summary!$L$3:$L$87)</f>
        <v>194</v>
      </c>
      <c r="E15" s="52">
        <f>SUMIF(Summary!$K$3:$K$87,'Talent Books'!C15,Summary!$M$3:$M$87)</f>
        <v>147</v>
      </c>
      <c r="F15" s="53">
        <f>SUMIF(Summary!$K$3:$K$87,'Talent Books'!C15,Summary!$N$3:$N$87)</f>
        <v>21</v>
      </c>
      <c r="G15" s="54">
        <v>3</v>
      </c>
      <c r="H15" s="52">
        <v>25</v>
      </c>
      <c r="I15" s="53">
        <v>82</v>
      </c>
      <c r="J15" s="54">
        <f t="shared" si="0"/>
        <v>191</v>
      </c>
      <c r="K15" s="52">
        <f t="shared" si="1"/>
        <v>122</v>
      </c>
      <c r="L15" s="53">
        <f t="shared" si="2"/>
        <v>-61</v>
      </c>
    </row>
    <row r="16" spans="1:12" x14ac:dyDescent="0.25">
      <c r="A16" s="50">
        <v>12</v>
      </c>
      <c r="B16" s="50" t="s">
        <v>346</v>
      </c>
      <c r="C16" s="51" t="s">
        <v>77</v>
      </c>
      <c r="D16" s="52">
        <f>SUMIF(Summary!$K$3:$K$87,'Talent Books'!C16,Summary!$L$3:$L$87)</f>
        <v>154</v>
      </c>
      <c r="E16" s="52">
        <f>SUMIF(Summary!$K$3:$K$87,'Talent Books'!C16,Summary!$M$3:$M$87)</f>
        <v>141</v>
      </c>
      <c r="F16" s="53">
        <f>SUMIF(Summary!$K$3:$K$87,'Talent Books'!C16,Summary!$N$3:$N$87)</f>
        <v>18</v>
      </c>
      <c r="G16" s="54">
        <v>7</v>
      </c>
      <c r="H16" s="52">
        <v>104</v>
      </c>
      <c r="I16" s="53">
        <v>105</v>
      </c>
      <c r="J16" s="54">
        <f t="shared" si="0"/>
        <v>147</v>
      </c>
      <c r="K16" s="52">
        <f t="shared" si="1"/>
        <v>37</v>
      </c>
      <c r="L16" s="53">
        <f t="shared" si="2"/>
        <v>-87</v>
      </c>
    </row>
    <row r="17" spans="1:20" x14ac:dyDescent="0.25">
      <c r="A17" s="60">
        <v>13</v>
      </c>
      <c r="B17" s="60" t="s">
        <v>347</v>
      </c>
      <c r="C17" s="61" t="s">
        <v>148</v>
      </c>
      <c r="D17" s="62">
        <f>SUMIF(Summary!$K$3:$K$87,'Talent Books'!C17,Summary!$L$3:$L$87)</f>
        <v>154</v>
      </c>
      <c r="E17" s="62">
        <f>SUMIF(Summary!$K$3:$K$87,'Talent Books'!C17,Summary!$M$3:$M$87)</f>
        <v>105</v>
      </c>
      <c r="F17" s="63">
        <f>SUMIF(Summary!$K$3:$K$87,'Talent Books'!C17,Summary!$N$3:$N$87)</f>
        <v>15</v>
      </c>
      <c r="G17" s="64">
        <v>2</v>
      </c>
      <c r="H17" s="62">
        <v>20</v>
      </c>
      <c r="I17" s="63">
        <v>38</v>
      </c>
      <c r="J17" s="64">
        <f t="shared" si="0"/>
        <v>152</v>
      </c>
      <c r="K17" s="62">
        <f t="shared" si="1"/>
        <v>85</v>
      </c>
      <c r="L17" s="63">
        <f t="shared" si="2"/>
        <v>-23</v>
      </c>
    </row>
    <row r="18" spans="1:20" x14ac:dyDescent="0.25">
      <c r="A18" s="60">
        <v>14</v>
      </c>
      <c r="B18" s="60" t="s">
        <v>347</v>
      </c>
      <c r="C18" s="61" t="s">
        <v>96</v>
      </c>
      <c r="D18" s="62">
        <f>SUMIF(Summary!$K$3:$K$87,'Talent Books'!C18,Summary!$L$3:$L$87)</f>
        <v>66</v>
      </c>
      <c r="E18" s="62">
        <f>SUMIF(Summary!$K$3:$K$87,'Talent Books'!C18,Summary!$M$3:$M$87)</f>
        <v>63</v>
      </c>
      <c r="F18" s="63">
        <f>SUMIF(Summary!$K$3:$K$87,'Talent Books'!C18,Summary!$N$3:$N$87)</f>
        <v>9</v>
      </c>
      <c r="G18" s="64">
        <v>22</v>
      </c>
      <c r="H18" s="62">
        <v>43</v>
      </c>
      <c r="I18" s="63">
        <v>50</v>
      </c>
      <c r="J18" s="64">
        <f t="shared" si="0"/>
        <v>44</v>
      </c>
      <c r="K18" s="62">
        <f t="shared" si="1"/>
        <v>20</v>
      </c>
      <c r="L18" s="63">
        <f t="shared" si="2"/>
        <v>-41</v>
      </c>
    </row>
    <row r="19" spans="1:20" x14ac:dyDescent="0.25">
      <c r="A19" s="60">
        <v>15</v>
      </c>
      <c r="B19" s="60" t="s">
        <v>347</v>
      </c>
      <c r="C19" s="61" t="s">
        <v>245</v>
      </c>
      <c r="D19" s="62">
        <f>SUMIF(Summary!$K$3:$K$87,'Talent Books'!C19,Summary!$L$3:$L$87)</f>
        <v>0</v>
      </c>
      <c r="E19" s="62">
        <f>SUMIF(Summary!$K$3:$K$87,'Talent Books'!C19,Summary!$M$3:$M$87)</f>
        <v>0</v>
      </c>
      <c r="F19" s="63">
        <f>SUMIF(Summary!$K$3:$K$87,'Talent Books'!C19,Summary!$N$3:$N$87)</f>
        <v>0</v>
      </c>
      <c r="G19" s="64">
        <v>11</v>
      </c>
      <c r="H19" s="62">
        <v>18</v>
      </c>
      <c r="I19" s="63">
        <v>18</v>
      </c>
      <c r="J19" s="64">
        <f t="shared" si="0"/>
        <v>-11</v>
      </c>
      <c r="K19" s="62">
        <f t="shared" si="1"/>
        <v>-18</v>
      </c>
      <c r="L19" s="63">
        <f t="shared" si="2"/>
        <v>-18</v>
      </c>
    </row>
    <row r="20" spans="1:20" x14ac:dyDescent="0.25">
      <c r="A20" s="19">
        <v>16</v>
      </c>
      <c r="B20" s="19"/>
      <c r="C20" s="33" t="s">
        <v>69</v>
      </c>
      <c r="D20" s="2">
        <f>SUMIF(Summary!$K$3:$K$87,'Talent Books'!C20,Summary!$L$3:$L$87)</f>
        <v>330</v>
      </c>
      <c r="E20" s="2">
        <f>SUMIF(Summary!$K$3:$K$87,'Talent Books'!C20,Summary!$M$3:$M$87)</f>
        <v>249</v>
      </c>
      <c r="F20" s="12">
        <f>SUMIF(Summary!$K$3:$K$87,'Talent Books'!C20,Summary!$N$3:$N$87)</f>
        <v>30</v>
      </c>
      <c r="G20" s="11"/>
      <c r="H20" s="2"/>
      <c r="I20" s="12"/>
      <c r="J20" s="13">
        <f t="shared" si="0"/>
        <v>330</v>
      </c>
      <c r="K20" s="14">
        <f t="shared" si="1"/>
        <v>249</v>
      </c>
      <c r="L20" s="15">
        <f t="shared" si="2"/>
        <v>30</v>
      </c>
    </row>
    <row r="21" spans="1:20" x14ac:dyDescent="0.25">
      <c r="A21" s="16" t="s">
        <v>298</v>
      </c>
      <c r="B21" s="16"/>
      <c r="C21" s="36"/>
      <c r="D21" s="37">
        <f>SUBTOTAL(109,Talent_Books[4*])</f>
        <v>3256</v>
      </c>
      <c r="E21" s="38">
        <f>SUBTOTAL(109,Talent_Books[3*])</f>
        <v>2682</v>
      </c>
      <c r="F21" s="39">
        <f>SUBTOTAL(109,Talent_Books[2*])</f>
        <v>348</v>
      </c>
      <c r="G21" s="37">
        <f>SUBTOTAL(109,Talent_Books[4*2])</f>
        <v>157</v>
      </c>
      <c r="H21" s="38">
        <f>SUBTOTAL(109,Talent_Books[3*3])</f>
        <v>541</v>
      </c>
      <c r="I21" s="39">
        <f>SUBTOTAL(109,Talent_Books[2*4])</f>
        <v>756</v>
      </c>
      <c r="J21" s="2">
        <f>SUMIF(J5:J20,"&gt;=0")</f>
        <v>3110</v>
      </c>
      <c r="K21" s="2">
        <f>SUMIF(K5:K20,"&gt;=0")</f>
        <v>2159</v>
      </c>
      <c r="L21" s="12">
        <f>SUMIF(L5:L20,"&gt;=0")</f>
        <v>108</v>
      </c>
      <c r="Q21" s="131" t="s">
        <v>348</v>
      </c>
      <c r="R21" s="132"/>
      <c r="S21" s="132"/>
      <c r="T21" s="133"/>
    </row>
    <row r="22" spans="1:20" x14ac:dyDescent="0.25">
      <c r="A22" s="2"/>
      <c r="B22" s="2"/>
      <c r="C22" s="10"/>
      <c r="D22" s="2"/>
      <c r="E22" s="2"/>
      <c r="F22" s="2"/>
      <c r="G22" s="2"/>
      <c r="H22" s="2"/>
      <c r="I22" s="2"/>
      <c r="J22" s="2"/>
      <c r="K22" s="2"/>
      <c r="L22" s="2"/>
      <c r="Q22" s="66"/>
      <c r="R22" s="65" t="s">
        <v>25</v>
      </c>
      <c r="S22" s="65" t="s">
        <v>26</v>
      </c>
      <c r="T22" s="65" t="s">
        <v>27</v>
      </c>
    </row>
    <row r="23" spans="1:20" x14ac:dyDescent="0.25">
      <c r="C23" s="23"/>
      <c r="D23" s="125" t="s">
        <v>322</v>
      </c>
      <c r="E23" s="126"/>
      <c r="F23" s="126"/>
      <c r="G23" s="126"/>
      <c r="H23" s="126"/>
      <c r="I23" s="126"/>
      <c r="J23" s="126"/>
      <c r="K23" s="126"/>
      <c r="L23" s="126"/>
      <c r="M23" s="127"/>
      <c r="Q23" s="9" t="s">
        <v>349</v>
      </c>
      <c r="R23" s="67">
        <v>0</v>
      </c>
      <c r="S23" s="67">
        <v>3</v>
      </c>
      <c r="T23" s="67">
        <v>2</v>
      </c>
    </row>
    <row r="24" spans="1:20" ht="15" customHeight="1" x14ac:dyDescent="0.25">
      <c r="D24" s="106" t="s">
        <v>300</v>
      </c>
      <c r="E24" s="107"/>
      <c r="F24" s="107"/>
      <c r="G24" s="107"/>
      <c r="H24" s="107"/>
      <c r="I24">
        <v>1</v>
      </c>
      <c r="J24" s="140" t="s">
        <v>350</v>
      </c>
      <c r="K24" s="140" t="s">
        <v>351</v>
      </c>
      <c r="L24" s="140" t="s">
        <v>352</v>
      </c>
      <c r="M24" s="26" t="s">
        <v>301</v>
      </c>
      <c r="Q24" s="24" t="s">
        <v>353</v>
      </c>
      <c r="R24" s="67">
        <v>0</v>
      </c>
      <c r="S24" s="67">
        <v>2</v>
      </c>
      <c r="T24" s="67">
        <v>2</v>
      </c>
    </row>
    <row r="25" spans="1:20" x14ac:dyDescent="0.25">
      <c r="D25" s="106" t="s">
        <v>302</v>
      </c>
      <c r="E25" s="107"/>
      <c r="F25" s="107"/>
      <c r="G25" s="107"/>
      <c r="H25" s="107"/>
      <c r="I25">
        <v>180</v>
      </c>
      <c r="J25" s="140"/>
      <c r="K25" s="140"/>
      <c r="L25" s="140"/>
      <c r="M25" s="26" t="s">
        <v>303</v>
      </c>
      <c r="Q25" s="24" t="s">
        <v>354</v>
      </c>
      <c r="R25" s="67">
        <v>0</v>
      </c>
      <c r="S25" s="67">
        <v>2</v>
      </c>
      <c r="T25" s="67">
        <v>2</v>
      </c>
    </row>
    <row r="26" spans="1:20" x14ac:dyDescent="0.25">
      <c r="D26" s="106" t="s">
        <v>355</v>
      </c>
      <c r="E26" s="107"/>
      <c r="F26" s="107"/>
      <c r="G26" s="107"/>
      <c r="H26" s="107"/>
      <c r="I26">
        <v>20</v>
      </c>
      <c r="J26" s="140"/>
      <c r="K26" s="140"/>
      <c r="L26" s="140"/>
      <c r="M26" s="26" t="s">
        <v>303</v>
      </c>
      <c r="Q26" s="24" t="s">
        <v>356</v>
      </c>
      <c r="R26" s="67">
        <v>0</v>
      </c>
      <c r="S26" s="67">
        <v>2</v>
      </c>
      <c r="T26" s="67">
        <v>2</v>
      </c>
    </row>
    <row r="27" spans="1:20" x14ac:dyDescent="0.25">
      <c r="D27" s="106" t="s">
        <v>357</v>
      </c>
      <c r="E27" s="107"/>
      <c r="F27" s="107"/>
      <c r="G27" s="107"/>
      <c r="H27" s="107"/>
      <c r="I27" s="76">
        <f>I25/I26</f>
        <v>9</v>
      </c>
      <c r="J27" s="140"/>
      <c r="K27" s="140"/>
      <c r="L27" s="140"/>
      <c r="M27" s="26" t="s">
        <v>307</v>
      </c>
      <c r="Q27" s="24" t="s">
        <v>358</v>
      </c>
      <c r="R27" s="67">
        <v>0</v>
      </c>
      <c r="S27" s="67">
        <v>2</v>
      </c>
      <c r="T27" s="67">
        <v>3</v>
      </c>
    </row>
    <row r="28" spans="1:20" x14ac:dyDescent="0.25">
      <c r="D28" s="106" t="s">
        <v>359</v>
      </c>
      <c r="E28" s="107"/>
      <c r="F28" s="107"/>
      <c r="G28" s="107"/>
      <c r="H28" s="107"/>
      <c r="I28" s="76"/>
      <c r="J28" s="76">
        <f>AVERAGE(R23:R31)</f>
        <v>0.44444444444444442</v>
      </c>
      <c r="K28" s="76">
        <f t="shared" ref="K28:L28" si="3">AVERAGE(S23:S31)</f>
        <v>1.7777777777777777</v>
      </c>
      <c r="L28" s="76">
        <f t="shared" si="3"/>
        <v>2.1111111111111112</v>
      </c>
      <c r="M28" s="26" t="s">
        <v>326</v>
      </c>
      <c r="Q28" s="24" t="s">
        <v>360</v>
      </c>
      <c r="R28" s="67">
        <v>1</v>
      </c>
      <c r="S28" s="67">
        <v>1</v>
      </c>
      <c r="T28" s="67">
        <v>2</v>
      </c>
    </row>
    <row r="29" spans="1:20" x14ac:dyDescent="0.25">
      <c r="D29" s="106" t="s">
        <v>327</v>
      </c>
      <c r="E29" s="107"/>
      <c r="F29" s="107"/>
      <c r="G29" s="107"/>
      <c r="H29" s="107"/>
      <c r="I29" s="76"/>
      <c r="J29">
        <f>$I$27*J28</f>
        <v>4</v>
      </c>
      <c r="K29">
        <f t="shared" ref="K29:L29" si="4">$I$27*K28</f>
        <v>16</v>
      </c>
      <c r="L29">
        <f t="shared" si="4"/>
        <v>19</v>
      </c>
      <c r="M29" s="26" t="s">
        <v>326</v>
      </c>
      <c r="Q29" s="24" t="s">
        <v>361</v>
      </c>
      <c r="R29" s="67">
        <v>1</v>
      </c>
      <c r="S29" s="67">
        <v>1</v>
      </c>
      <c r="T29" s="67">
        <v>2</v>
      </c>
    </row>
    <row r="30" spans="1:20" x14ac:dyDescent="0.25">
      <c r="D30" s="115" t="s">
        <v>328</v>
      </c>
      <c r="E30" s="116"/>
      <c r="F30" s="116"/>
      <c r="G30" s="116"/>
      <c r="H30" s="116"/>
      <c r="I30" s="72"/>
      <c r="J30" s="72">
        <f>Talent_Books[[#Totals],[4*5]]/J29</f>
        <v>777.5</v>
      </c>
      <c r="K30" s="72">
        <f>Talent_Books[[#Totals],[3*6]]/K29</f>
        <v>134.9375</v>
      </c>
      <c r="L30" s="72">
        <f>Talent_Books[[#Totals],[2*7]]/L29</f>
        <v>5.6842105263157894</v>
      </c>
      <c r="M30" s="26" t="s">
        <v>314</v>
      </c>
      <c r="Q30" s="24" t="s">
        <v>362</v>
      </c>
      <c r="R30" s="67">
        <v>1</v>
      </c>
      <c r="S30" s="67">
        <v>2</v>
      </c>
      <c r="T30" s="67">
        <v>2</v>
      </c>
    </row>
    <row r="31" spans="1:20" x14ac:dyDescent="0.25">
      <c r="D31" s="115" t="s">
        <v>363</v>
      </c>
      <c r="E31" s="116"/>
      <c r="F31" s="116"/>
      <c r="G31" s="116"/>
      <c r="H31" s="116"/>
      <c r="I31" s="72"/>
      <c r="J31" s="72">
        <f>AVERAGE(J30:L30)</f>
        <v>306.04057017543863</v>
      </c>
      <c r="K31" s="73"/>
      <c r="L31" s="73"/>
      <c r="M31" s="26" t="s">
        <v>314</v>
      </c>
      <c r="Q31" s="24" t="s">
        <v>364</v>
      </c>
      <c r="R31" s="67">
        <v>1</v>
      </c>
      <c r="S31" s="67">
        <v>1</v>
      </c>
      <c r="T31" s="67">
        <v>2</v>
      </c>
    </row>
    <row r="32" spans="1:20" x14ac:dyDescent="0.25">
      <c r="D32" s="25"/>
      <c r="E32" s="22"/>
      <c r="F32" s="114" t="s">
        <v>316</v>
      </c>
      <c r="G32" s="114"/>
      <c r="H32" s="114"/>
      <c r="I32" s="74">
        <f>I25*J31</f>
        <v>55087.302631578954</v>
      </c>
      <c r="J32" s="22" t="s">
        <v>303</v>
      </c>
      <c r="K32" s="70"/>
      <c r="L32" s="70"/>
      <c r="M32" s="71"/>
      <c r="N32" s="75"/>
      <c r="Q32" s="25" t="s">
        <v>298</v>
      </c>
      <c r="R32" s="68">
        <f t="shared" ref="R32:S32" si="5">SUM(R23:R31)</f>
        <v>4</v>
      </c>
      <c r="S32" s="68">
        <f t="shared" si="5"/>
        <v>16</v>
      </c>
      <c r="T32" s="68">
        <f>SUM(T23:T31)</f>
        <v>19</v>
      </c>
    </row>
  </sheetData>
  <mergeCells count="21">
    <mergeCell ref="D31:H31"/>
    <mergeCell ref="F32:H32"/>
    <mergeCell ref="D28:H28"/>
    <mergeCell ref="D29:H29"/>
    <mergeCell ref="D30:H30"/>
    <mergeCell ref="J24:J27"/>
    <mergeCell ref="K24:K27"/>
    <mergeCell ref="L24:L27"/>
    <mergeCell ref="D24:H24"/>
    <mergeCell ref="D25:H25"/>
    <mergeCell ref="D26:H26"/>
    <mergeCell ref="D27:H27"/>
    <mergeCell ref="D23:M23"/>
    <mergeCell ref="A1:L1"/>
    <mergeCell ref="Q21:T21"/>
    <mergeCell ref="D3:F3"/>
    <mergeCell ref="G3:I3"/>
    <mergeCell ref="J3:L3"/>
    <mergeCell ref="G2:I2"/>
    <mergeCell ref="J2:L2"/>
    <mergeCell ref="D2:F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D3E-AECD-4E2F-85D2-D8BBD6D43DE2}">
  <dimension ref="A1:K62"/>
  <sheetViews>
    <sheetView workbookViewId="0">
      <selection activeCell="E27" sqref="E27"/>
    </sheetView>
  </sheetViews>
  <sheetFormatPr defaultRowHeight="15" x14ac:dyDescent="0.25"/>
  <cols>
    <col min="2" max="2" width="36.5703125" bestFit="1" customWidth="1"/>
    <col min="3" max="3" width="27.42578125" style="3" bestFit="1" customWidth="1"/>
    <col min="4" max="4" width="17.7109375" style="2" bestFit="1" customWidth="1"/>
    <col min="5" max="5" width="16" style="2" customWidth="1"/>
    <col min="6" max="6" width="17.42578125" style="2" customWidth="1"/>
  </cols>
  <sheetData>
    <row r="1" spans="1:6" x14ac:dyDescent="0.25">
      <c r="A1" s="2" t="s">
        <v>0</v>
      </c>
      <c r="B1" s="2" t="s">
        <v>318</v>
      </c>
      <c r="C1" s="2" t="s">
        <v>35</v>
      </c>
      <c r="D1" s="2" t="s">
        <v>319</v>
      </c>
      <c r="E1" s="2" t="s">
        <v>320</v>
      </c>
      <c r="F1" s="2" t="s">
        <v>321</v>
      </c>
    </row>
    <row r="2" spans="1:6" x14ac:dyDescent="0.25">
      <c r="A2" s="8">
        <f>SUBTOTAL(3,$B$2:B2)</f>
        <v>1</v>
      </c>
      <c r="B2" s="18" t="s">
        <v>365</v>
      </c>
      <c r="C2" s="3" t="s">
        <v>159</v>
      </c>
      <c r="D2" s="2">
        <f>SUMIF(Summary!$Y$3:$Y$89,Weekly_Boss[[#This Row],[Mats Name]],Summary!$AC$3:$AC$89)</f>
        <v>18</v>
      </c>
      <c r="E2" s="2">
        <v>4</v>
      </c>
      <c r="F2" s="2">
        <f t="shared" ref="F2:F28" si="0">D2-E2</f>
        <v>14</v>
      </c>
    </row>
    <row r="3" spans="1:6" x14ac:dyDescent="0.25">
      <c r="A3" s="8">
        <f>SUBTOTAL(3,$B$2:B3)</f>
        <v>2</v>
      </c>
      <c r="B3" s="18" t="s">
        <v>365</v>
      </c>
      <c r="C3" s="3" t="s">
        <v>170</v>
      </c>
      <c r="D3" s="2">
        <f>SUMIF(Summary!$Y$3:$Y$89,Weekly_Boss[[#This Row],[Mats Name]],Summary!$AC$3:$AC$89)</f>
        <v>24</v>
      </c>
      <c r="E3" s="2">
        <v>21</v>
      </c>
      <c r="F3" s="2">
        <f t="shared" si="0"/>
        <v>3</v>
      </c>
    </row>
    <row r="4" spans="1:6" x14ac:dyDescent="0.25">
      <c r="A4" s="8">
        <f>SUBTOTAL(3,$B$2:B4)</f>
        <v>3</v>
      </c>
      <c r="B4" s="18" t="s">
        <v>365</v>
      </c>
      <c r="C4" s="3" t="s">
        <v>91</v>
      </c>
      <c r="D4" s="2">
        <f>SUMIF(Summary!$Y$3:$Y$89,Weekly_Boss[[#This Row],[Mats Name]],Summary!$AC$3:$AC$89)</f>
        <v>20</v>
      </c>
      <c r="E4" s="2">
        <v>7</v>
      </c>
      <c r="F4" s="2">
        <f t="shared" si="0"/>
        <v>13</v>
      </c>
    </row>
    <row r="5" spans="1:6" x14ac:dyDescent="0.25">
      <c r="A5" s="8">
        <f>SUBTOTAL(3,$B$2:B5)</f>
        <v>4</v>
      </c>
      <c r="B5" s="18" t="s">
        <v>366</v>
      </c>
      <c r="C5" s="3" t="s">
        <v>137</v>
      </c>
      <c r="D5" s="2">
        <f>SUMIF(Summary!$Y$3:$Y$89,Weekly_Boss[[#This Row],[Mats Name]],Summary!$AC$3:$AC$89)</f>
        <v>14</v>
      </c>
      <c r="E5" s="2">
        <v>31</v>
      </c>
      <c r="F5" s="2">
        <f t="shared" si="0"/>
        <v>-17</v>
      </c>
    </row>
    <row r="6" spans="1:6" x14ac:dyDescent="0.25">
      <c r="A6" s="8">
        <f>SUBTOTAL(3,$B$2:B6)</f>
        <v>5</v>
      </c>
      <c r="B6" s="18" t="s">
        <v>366</v>
      </c>
      <c r="C6" s="3" t="s">
        <v>155</v>
      </c>
      <c r="D6" s="2">
        <f>SUMIF(Summary!$Y$3:$Y$89,Weekly_Boss[[#This Row],[Mats Name]],Summary!$AC$3:$AC$89)</f>
        <v>12</v>
      </c>
      <c r="E6" s="2">
        <v>18</v>
      </c>
      <c r="F6" s="2">
        <f t="shared" si="0"/>
        <v>-6</v>
      </c>
    </row>
    <row r="7" spans="1:6" x14ac:dyDescent="0.25">
      <c r="A7" s="8">
        <f>SUBTOTAL(3,$B$2:B7)</f>
        <v>6</v>
      </c>
      <c r="B7" s="18" t="s">
        <v>366</v>
      </c>
      <c r="C7" s="3" t="s">
        <v>238</v>
      </c>
      <c r="D7" s="2">
        <f>SUMIF(Summary!$Y$3:$Y$89,Weekly_Boss[[#This Row],[Mats Name]],Summary!$AC$3:$AC$89)</f>
        <v>20</v>
      </c>
      <c r="E7" s="2">
        <v>13</v>
      </c>
      <c r="F7" s="2">
        <f t="shared" si="0"/>
        <v>7</v>
      </c>
    </row>
    <row r="8" spans="1:6" x14ac:dyDescent="0.25">
      <c r="A8" s="8">
        <f>SUBTOTAL(3,$B$2:B8)</f>
        <v>7</v>
      </c>
      <c r="B8" s="18" t="s">
        <v>367</v>
      </c>
      <c r="C8" s="3" t="s">
        <v>200</v>
      </c>
      <c r="D8" s="2">
        <f>SUMIF(Summary!$Y$3:$Y$89,Weekly_Boss[[#This Row],[Mats Name]],Summary!$AC$3:$AC$89)</f>
        <v>32</v>
      </c>
      <c r="E8" s="2">
        <v>8</v>
      </c>
      <c r="F8" s="2">
        <f t="shared" si="0"/>
        <v>24</v>
      </c>
    </row>
    <row r="9" spans="1:6" x14ac:dyDescent="0.25">
      <c r="A9" s="8">
        <f>SUBTOTAL(3,$B$2:B9)</f>
        <v>8</v>
      </c>
      <c r="B9" s="18" t="s">
        <v>367</v>
      </c>
      <c r="C9" s="3" t="s">
        <v>105</v>
      </c>
      <c r="D9" s="2">
        <f>SUMIF(Summary!$Y$3:$Y$89,Weekly_Boss[[#This Row],[Mats Name]],Summary!$AC$3:$AC$89)</f>
        <v>24</v>
      </c>
      <c r="E9" s="2">
        <v>9</v>
      </c>
      <c r="F9" s="2">
        <f t="shared" si="0"/>
        <v>15</v>
      </c>
    </row>
    <row r="10" spans="1:6" x14ac:dyDescent="0.25">
      <c r="A10" s="8">
        <f>SUBTOTAL(3,$B$2:B10)</f>
        <v>9</v>
      </c>
      <c r="B10" s="18" t="s">
        <v>367</v>
      </c>
      <c r="C10" s="3" t="s">
        <v>191</v>
      </c>
      <c r="D10" s="2">
        <f>SUMIF(Summary!$Y$3:$Y$89,Weekly_Boss[[#This Row],[Mats Name]],Summary!$AC$3:$AC$89)</f>
        <v>12</v>
      </c>
      <c r="E10" s="2">
        <v>13</v>
      </c>
      <c r="F10" s="2">
        <f t="shared" si="0"/>
        <v>-1</v>
      </c>
    </row>
    <row r="11" spans="1:6" x14ac:dyDescent="0.25">
      <c r="A11" s="8">
        <f>SUBTOTAL(3,$B$2:B11)</f>
        <v>10</v>
      </c>
      <c r="B11" s="18" t="s">
        <v>368</v>
      </c>
      <c r="C11" s="3" t="s">
        <v>174</v>
      </c>
      <c r="D11" s="2">
        <f>SUMIF(Summary!$Y$3:$Y$89,Weekly_Boss[[#This Row],[Mats Name]],Summary!$AC$3:$AC$89)</f>
        <v>19</v>
      </c>
      <c r="E11" s="2">
        <v>7</v>
      </c>
      <c r="F11" s="2">
        <f t="shared" si="0"/>
        <v>12</v>
      </c>
    </row>
    <row r="12" spans="1:6" x14ac:dyDescent="0.25">
      <c r="A12" s="8">
        <f>SUBTOTAL(3,$B$2:B12)</f>
        <v>11</v>
      </c>
      <c r="B12" s="18" t="s">
        <v>368</v>
      </c>
      <c r="C12" s="3" t="s">
        <v>123</v>
      </c>
      <c r="D12" s="2">
        <f>SUMIF(Summary!$Y$3:$Y$89,Weekly_Boss[[#This Row],[Mats Name]],Summary!$AC$3:$AC$89)</f>
        <v>12</v>
      </c>
      <c r="E12" s="2">
        <v>9</v>
      </c>
      <c r="F12" s="2">
        <f t="shared" si="0"/>
        <v>3</v>
      </c>
    </row>
    <row r="13" spans="1:6" x14ac:dyDescent="0.25">
      <c r="A13" s="8">
        <f>SUBTOTAL(3,$B$2:B13)</f>
        <v>12</v>
      </c>
      <c r="B13" s="18" t="s">
        <v>368</v>
      </c>
      <c r="C13" s="3" t="s">
        <v>79</v>
      </c>
      <c r="D13" s="2">
        <f>SUMIF(Summary!$Y$3:$Y$89,Weekly_Boss[[#This Row],[Mats Name]],Summary!$AC$3:$AC$89)</f>
        <v>8</v>
      </c>
      <c r="E13" s="2">
        <v>22</v>
      </c>
      <c r="F13" s="2">
        <f t="shared" si="0"/>
        <v>-14</v>
      </c>
    </row>
    <row r="14" spans="1:6" x14ac:dyDescent="0.25">
      <c r="A14" s="8">
        <f>SUBTOTAL(3,$B$2:B14)</f>
        <v>13</v>
      </c>
      <c r="B14" s="18" t="s">
        <v>369</v>
      </c>
      <c r="C14" s="3" t="s">
        <v>149</v>
      </c>
      <c r="D14" s="2">
        <f>SUMIF(Summary!$Y$3:$Y$89,Weekly_Boss[[#This Row],[Mats Name]],Summary!$AC$3:$AC$89)</f>
        <v>12</v>
      </c>
      <c r="E14" s="2">
        <v>5</v>
      </c>
      <c r="F14" s="2">
        <f t="shared" si="0"/>
        <v>7</v>
      </c>
    </row>
    <row r="15" spans="1:6" x14ac:dyDescent="0.25">
      <c r="A15" s="8">
        <f>SUBTOTAL(3,$B$2:B15)</f>
        <v>14</v>
      </c>
      <c r="B15" s="18" t="s">
        <v>369</v>
      </c>
      <c r="C15" s="3" t="s">
        <v>130</v>
      </c>
      <c r="D15" s="2">
        <f>SUMIF(Summary!$Y$3:$Y$89,Weekly_Boss[[#This Row],[Mats Name]],Summary!$AC$3:$AC$89)</f>
        <v>12</v>
      </c>
      <c r="E15" s="2">
        <v>5</v>
      </c>
      <c r="F15" s="2">
        <f t="shared" si="0"/>
        <v>7</v>
      </c>
    </row>
    <row r="16" spans="1:6" x14ac:dyDescent="0.25">
      <c r="A16" s="8">
        <f>SUBTOTAL(3,$B$2:B16)</f>
        <v>15</v>
      </c>
      <c r="B16" s="18" t="s">
        <v>369</v>
      </c>
      <c r="C16" s="3" t="s">
        <v>261</v>
      </c>
      <c r="D16" s="2">
        <f>SUMIF(Summary!$Y$3:$Y$89,Weekly_Boss[[#This Row],[Mats Name]],Summary!$AC$3:$AC$89)</f>
        <v>4</v>
      </c>
      <c r="E16" s="2">
        <v>4</v>
      </c>
      <c r="F16" s="2">
        <f t="shared" ref="F16" si="1">D16-E16</f>
        <v>0</v>
      </c>
    </row>
    <row r="17" spans="1:11" x14ac:dyDescent="0.25">
      <c r="A17" s="8">
        <f>SUBTOTAL(3,$B$2:B17)</f>
        <v>16</v>
      </c>
      <c r="B17" s="18" t="s">
        <v>370</v>
      </c>
      <c r="C17" s="3" t="s">
        <v>98</v>
      </c>
      <c r="D17" s="2">
        <f>SUMIF(Summary!$Y$3:$Y$89,Weekly_Boss[[#This Row],[Mats Name]],Summary!$AC$3:$AC$89)</f>
        <v>24</v>
      </c>
      <c r="F17" s="2">
        <f t="shared" si="0"/>
        <v>24</v>
      </c>
    </row>
    <row r="18" spans="1:11" x14ac:dyDescent="0.25">
      <c r="A18" s="8">
        <f>SUBTOTAL(3,$B$2:B18)</f>
        <v>17</v>
      </c>
      <c r="B18" s="18" t="s">
        <v>370</v>
      </c>
      <c r="C18" s="3" t="s">
        <v>162</v>
      </c>
      <c r="D18" s="2">
        <f>SUMIF(Summary!$Y$3:$Y$89,Weekly_Boss[[#This Row],[Mats Name]],Summary!$AC$3:$AC$89)</f>
        <v>28</v>
      </c>
      <c r="E18" s="2">
        <v>2</v>
      </c>
      <c r="F18" s="2">
        <f t="shared" si="0"/>
        <v>26</v>
      </c>
    </row>
    <row r="19" spans="1:11" x14ac:dyDescent="0.25">
      <c r="A19" s="8">
        <f>SUBTOTAL(3,$B$2:B19)</f>
        <v>18</v>
      </c>
      <c r="B19" s="18" t="s">
        <v>370</v>
      </c>
      <c r="C19" s="3" t="s">
        <v>188</v>
      </c>
      <c r="D19" s="2">
        <f>SUMIF(Summary!$Y$3:$Y$89,Weekly_Boss[[#This Row],[Mats Name]],Summary!$AC$3:$AC$89)</f>
        <v>12</v>
      </c>
      <c r="E19" s="2">
        <v>10</v>
      </c>
      <c r="F19" s="2">
        <f t="shared" si="0"/>
        <v>2</v>
      </c>
    </row>
    <row r="20" spans="1:11" x14ac:dyDescent="0.25">
      <c r="A20" s="8">
        <f>SUBTOTAL(3,$B$2:B20)</f>
        <v>19</v>
      </c>
      <c r="B20" s="18" t="s">
        <v>142</v>
      </c>
      <c r="C20" s="3" t="s">
        <v>186</v>
      </c>
      <c r="D20" s="2">
        <f>SUMIF(Summary!$Y$3:$Y$89,Weekly_Boss[[#This Row],[Mats Name]],Summary!$AC$3:$AC$89)</f>
        <v>20</v>
      </c>
      <c r="E20" s="2">
        <v>3</v>
      </c>
      <c r="F20" s="2">
        <f t="shared" si="0"/>
        <v>17</v>
      </c>
    </row>
    <row r="21" spans="1:11" x14ac:dyDescent="0.25">
      <c r="A21" s="8">
        <f>SUBTOTAL(3,$B$2:B21)</f>
        <v>20</v>
      </c>
      <c r="B21" s="18" t="s">
        <v>142</v>
      </c>
      <c r="C21" s="3" t="s">
        <v>143</v>
      </c>
      <c r="D21" s="2">
        <f>SUMIF(Summary!$Y$3:$Y$89,Weekly_Boss[[#This Row],[Mats Name]],Summary!$AC$3:$AC$89)</f>
        <v>28</v>
      </c>
      <c r="E21" s="2">
        <v>16</v>
      </c>
      <c r="F21" s="2">
        <f t="shared" si="0"/>
        <v>12</v>
      </c>
    </row>
    <row r="22" spans="1:11" x14ac:dyDescent="0.25">
      <c r="A22" s="8">
        <f>SUBTOTAL(3,$B$2:B22)</f>
        <v>21</v>
      </c>
      <c r="B22" s="18" t="s">
        <v>142</v>
      </c>
      <c r="C22" s="3" t="s">
        <v>226</v>
      </c>
      <c r="D22" s="2">
        <f>SUMIF(Summary!$Y$3:$Y$89,Weekly_Boss[[#This Row],[Mats Name]],Summary!$AC$3:$AC$89)</f>
        <v>24</v>
      </c>
      <c r="E22" s="2">
        <v>23</v>
      </c>
      <c r="F22" s="2">
        <f t="shared" si="0"/>
        <v>1</v>
      </c>
    </row>
    <row r="23" spans="1:11" x14ac:dyDescent="0.25">
      <c r="A23" s="8">
        <f>SUBTOTAL(3,$B$2:B23)</f>
        <v>22</v>
      </c>
      <c r="B23" s="18" t="s">
        <v>70</v>
      </c>
      <c r="C23" s="3" t="s">
        <v>85</v>
      </c>
      <c r="D23" s="2">
        <f>SUMIF(Summary!$Y$3:$Y$89,Weekly_Boss[[#This Row],[Mats Name]],Summary!$AC$3:$AC$89)</f>
        <v>31</v>
      </c>
      <c r="E23" s="2">
        <v>12</v>
      </c>
      <c r="F23" s="2">
        <f t="shared" si="0"/>
        <v>19</v>
      </c>
    </row>
    <row r="24" spans="1:11" x14ac:dyDescent="0.25">
      <c r="A24" s="8">
        <f>SUBTOTAL(3,$B$2:B24)</f>
        <v>23</v>
      </c>
      <c r="B24" s="18" t="s">
        <v>70</v>
      </c>
      <c r="C24" s="3" t="s">
        <v>71</v>
      </c>
      <c r="D24" s="2">
        <f>SUMIF(Summary!$Y$3:$Y$89,Weekly_Boss[[#This Row],[Mats Name]],Summary!$AC$3:$AC$89)</f>
        <v>48</v>
      </c>
      <c r="E24" s="2">
        <v>19</v>
      </c>
      <c r="F24" s="2">
        <f t="shared" si="0"/>
        <v>29</v>
      </c>
    </row>
    <row r="25" spans="1:11" x14ac:dyDescent="0.25">
      <c r="A25" s="8">
        <f>SUBTOTAL(3,$B$2:B25)</f>
        <v>24</v>
      </c>
      <c r="B25" s="18" t="s">
        <v>70</v>
      </c>
      <c r="C25" s="3" t="s">
        <v>231</v>
      </c>
      <c r="D25" s="2">
        <f>SUMIF(Summary!$Y$3:$Y$89,Weekly_Boss[[#This Row],[Mats Name]],Summary!$AC$3:$AC$89)</f>
        <v>36</v>
      </c>
      <c r="E25" s="2">
        <v>10</v>
      </c>
      <c r="F25" s="2">
        <f t="shared" si="0"/>
        <v>26</v>
      </c>
    </row>
    <row r="26" spans="1:11" x14ac:dyDescent="0.25">
      <c r="A26" s="8">
        <f>SUBTOTAL(3,$B$2:B26)</f>
        <v>25</v>
      </c>
      <c r="B26" s="18" t="s">
        <v>113</v>
      </c>
      <c r="C26" s="3" t="s">
        <v>117</v>
      </c>
      <c r="D26" s="2">
        <f>SUMIF(Summary!$Y$3:$Y$89,Weekly_Boss[[#This Row],[Mats Name]],Summary!$AC$3:$AC$89)</f>
        <v>32</v>
      </c>
      <c r="E26" s="2">
        <v>7</v>
      </c>
      <c r="F26" s="2">
        <f t="shared" si="0"/>
        <v>25</v>
      </c>
    </row>
    <row r="27" spans="1:11" x14ac:dyDescent="0.25">
      <c r="A27" s="8">
        <f>SUBTOTAL(3,$B$2:B27)</f>
        <v>26</v>
      </c>
      <c r="B27" s="18" t="s">
        <v>113</v>
      </c>
      <c r="C27" s="3" t="s">
        <v>114</v>
      </c>
      <c r="D27" s="2">
        <f>SUMIF(Summary!$Y$3:$Y$89,Weekly_Boss[[#This Row],[Mats Name]],Summary!$AC$3:$AC$89)</f>
        <v>32</v>
      </c>
      <c r="F27" s="2">
        <f t="shared" si="0"/>
        <v>32</v>
      </c>
    </row>
    <row r="28" spans="1:11" x14ac:dyDescent="0.25">
      <c r="A28" s="8">
        <f>SUBTOTAL(3,$B$2:B28)</f>
        <v>27</v>
      </c>
      <c r="B28" s="18" t="s">
        <v>113</v>
      </c>
      <c r="C28" s="3" t="s">
        <v>223</v>
      </c>
      <c r="D28" s="2">
        <f>SUMIF(Summary!$Y$3:$Y$89,Weekly_Boss[[#This Row],[Mats Name]],Summary!$AC$3:$AC$89)</f>
        <v>32</v>
      </c>
      <c r="E28" s="2">
        <v>15</v>
      </c>
      <c r="F28" s="2">
        <f t="shared" si="0"/>
        <v>17</v>
      </c>
    </row>
    <row r="29" spans="1:11" x14ac:dyDescent="0.25">
      <c r="A29" s="8" t="s">
        <v>298</v>
      </c>
      <c r="B29" s="8"/>
      <c r="D29" s="2">
        <f>SUBTOTAL(109,Weekly_Boss[Mats Needed])</f>
        <v>590</v>
      </c>
      <c r="E29" s="2">
        <f>SUBTOTAL(109,Weekly_Boss[Mats Acquired])</f>
        <v>293</v>
      </c>
      <c r="F29" s="2">
        <f>SUMIF(F2:F28,"&gt;=0")</f>
        <v>335</v>
      </c>
    </row>
    <row r="30" spans="1:11" x14ac:dyDescent="0.25">
      <c r="A30" s="8"/>
      <c r="B30" s="8"/>
    </row>
    <row r="31" spans="1:11" x14ac:dyDescent="0.25">
      <c r="C31" s="122" t="s">
        <v>322</v>
      </c>
      <c r="D31" s="123"/>
      <c r="E31" s="123"/>
      <c r="F31" s="123"/>
      <c r="G31" s="123"/>
      <c r="H31" s="123"/>
      <c r="I31" s="123"/>
      <c r="J31" s="123"/>
      <c r="K31" s="124"/>
    </row>
    <row r="32" spans="1:11" x14ac:dyDescent="0.25">
      <c r="C32" s="147" t="s">
        <v>371</v>
      </c>
      <c r="D32" s="148"/>
      <c r="E32" s="148"/>
      <c r="F32" s="27" cm="1">
        <f t="array" ref="F32">SUMPRODUCT(1/COUNTIF(B2:B28,B2:B28))</f>
        <v>8.9999999999999982</v>
      </c>
      <c r="G32" s="27" t="s">
        <v>307</v>
      </c>
      <c r="H32" s="143"/>
      <c r="I32" s="143"/>
      <c r="J32" s="143"/>
      <c r="K32" s="144"/>
    </row>
    <row r="33" spans="3:11" x14ac:dyDescent="0.25">
      <c r="C33" s="106" t="s">
        <v>325</v>
      </c>
      <c r="D33" s="107"/>
      <c r="E33" s="107"/>
      <c r="F33" s="76">
        <v>2.25</v>
      </c>
      <c r="G33" t="s">
        <v>326</v>
      </c>
      <c r="H33" s="145"/>
      <c r="I33" s="145"/>
      <c r="J33" s="145"/>
      <c r="K33" s="146"/>
    </row>
    <row r="34" spans="3:11" x14ac:dyDescent="0.25">
      <c r="C34" s="106" t="s">
        <v>372</v>
      </c>
      <c r="D34" s="107"/>
      <c r="E34" s="107"/>
      <c r="F34" s="76">
        <f>F32*F33</f>
        <v>20.249999999999996</v>
      </c>
      <c r="G34" t="s">
        <v>326</v>
      </c>
      <c r="H34" s="145" t="s">
        <v>373</v>
      </c>
      <c r="I34" s="145"/>
      <c r="J34" s="145"/>
      <c r="K34" s="146"/>
    </row>
    <row r="35" spans="3:11" x14ac:dyDescent="0.25">
      <c r="C35" s="115" t="s">
        <v>374</v>
      </c>
      <c r="D35" s="116"/>
      <c r="E35" s="116"/>
      <c r="F35" s="72">
        <f>Weekly_Boss[[#Totals],[Remaining Mats]]/F34</f>
        <v>16.543209876543212</v>
      </c>
      <c r="G35" s="73" t="s">
        <v>375</v>
      </c>
      <c r="H35" s="145" t="s">
        <v>329</v>
      </c>
      <c r="I35" s="145"/>
      <c r="J35" s="145"/>
      <c r="K35" s="146"/>
    </row>
    <row r="36" spans="3:11" x14ac:dyDescent="0.25">
      <c r="C36" s="36"/>
      <c r="E36" s="4" t="s">
        <v>376</v>
      </c>
      <c r="F36" s="72">
        <f>F35*7</f>
        <v>115.80246913580248</v>
      </c>
      <c r="G36" s="73" t="s">
        <v>314</v>
      </c>
      <c r="H36" s="145" t="s">
        <v>377</v>
      </c>
      <c r="I36" s="145"/>
      <c r="J36" s="145"/>
      <c r="K36" s="146"/>
    </row>
    <row r="37" spans="3:11" x14ac:dyDescent="0.25">
      <c r="C37" s="113" t="s">
        <v>316</v>
      </c>
      <c r="D37" s="114"/>
      <c r="E37" s="114"/>
      <c r="F37" s="74">
        <f>450*F35</f>
        <v>7444.4444444444453</v>
      </c>
      <c r="G37" s="21" t="s">
        <v>303</v>
      </c>
      <c r="H37" s="141" t="s">
        <v>378</v>
      </c>
      <c r="I37" s="141"/>
      <c r="J37" s="141"/>
      <c r="K37" s="142"/>
    </row>
    <row r="47" spans="3:11" x14ac:dyDescent="0.25">
      <c r="F47"/>
    </row>
    <row r="48" spans="3:11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</sheetData>
  <mergeCells count="12">
    <mergeCell ref="C37:E37"/>
    <mergeCell ref="H37:K37"/>
    <mergeCell ref="C31:K31"/>
    <mergeCell ref="H32:K32"/>
    <mergeCell ref="H33:K33"/>
    <mergeCell ref="H34:K34"/>
    <mergeCell ref="H35:K35"/>
    <mergeCell ref="H36:K36"/>
    <mergeCell ref="C35:E35"/>
    <mergeCell ref="C32:E32"/>
    <mergeCell ref="C33:E33"/>
    <mergeCell ref="C34:E3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8CEF-277C-40F0-BBA0-EC0D14C2E67A}">
  <dimension ref="A1:S104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25.7109375" style="3" bestFit="1" customWidth="1"/>
    <col min="3" max="5" width="14.28515625" style="2" customWidth="1"/>
    <col min="6" max="6" width="3" customWidth="1"/>
    <col min="7" max="7" width="9.140625" customWidth="1"/>
    <col min="8" max="8" width="25.28515625" bestFit="1" customWidth="1"/>
    <col min="9" max="9" width="17.28515625" customWidth="1"/>
    <col min="10" max="12" width="14.28515625" customWidth="1"/>
    <col min="13" max="13" width="3" customWidth="1"/>
    <col min="14" max="14" width="9.140625" customWidth="1"/>
    <col min="15" max="15" width="18.28515625" bestFit="1" customWidth="1"/>
    <col min="16" max="16" width="26.7109375" customWidth="1"/>
    <col min="17" max="19" width="14.28515625" customWidth="1"/>
  </cols>
  <sheetData>
    <row r="1" spans="1:19" x14ac:dyDescent="0.25">
      <c r="A1" s="128" t="s">
        <v>379</v>
      </c>
      <c r="B1" s="129"/>
      <c r="C1" s="129"/>
      <c r="D1" s="129"/>
      <c r="E1" s="129"/>
      <c r="G1" s="128" t="s">
        <v>11</v>
      </c>
      <c r="H1" s="129"/>
      <c r="I1" s="129"/>
      <c r="J1" s="129"/>
      <c r="K1" s="129"/>
      <c r="L1" s="129"/>
      <c r="N1" s="128" t="s">
        <v>12</v>
      </c>
      <c r="O1" s="129"/>
      <c r="P1" s="129"/>
      <c r="Q1" s="129"/>
      <c r="R1" s="129"/>
      <c r="S1" s="129"/>
    </row>
    <row r="2" spans="1:19" s="79" customFormat="1" ht="25.5" customHeight="1" x14ac:dyDescent="0.25">
      <c r="A2" s="77" t="s">
        <v>0</v>
      </c>
      <c r="B2" s="77" t="s">
        <v>40</v>
      </c>
      <c r="C2" s="77" t="s">
        <v>380</v>
      </c>
      <c r="D2" s="77" t="s">
        <v>381</v>
      </c>
      <c r="E2" s="77" t="s">
        <v>382</v>
      </c>
      <c r="G2" s="77" t="s">
        <v>0</v>
      </c>
      <c r="H2" s="77" t="s">
        <v>42</v>
      </c>
      <c r="I2" s="77" t="s">
        <v>383</v>
      </c>
      <c r="J2" s="77" t="s">
        <v>384</v>
      </c>
      <c r="K2" s="77" t="s">
        <v>385</v>
      </c>
      <c r="L2" s="77" t="s">
        <v>386</v>
      </c>
      <c r="N2" s="77" t="s">
        <v>0</v>
      </c>
      <c r="O2" s="77" t="s">
        <v>47</v>
      </c>
      <c r="P2" s="77" t="s">
        <v>387</v>
      </c>
      <c r="Q2" s="77" t="s">
        <v>388</v>
      </c>
      <c r="R2" s="77" t="s">
        <v>389</v>
      </c>
      <c r="S2" s="77" t="s">
        <v>321</v>
      </c>
    </row>
    <row r="3" spans="1:19" x14ac:dyDescent="0.25">
      <c r="A3" s="8">
        <f>SUBTOTAL(3,$B$3:B3)</f>
        <v>1</v>
      </c>
      <c r="B3" s="3" t="s">
        <v>205</v>
      </c>
      <c r="C3" s="2">
        <f>SUMIF(Summary[Flower Name],Ascension_Flower[[#This Row],[Flower Name]],Summary[Quantity])</f>
        <v>165</v>
      </c>
      <c r="D3" s="2">
        <v>58</v>
      </c>
      <c r="E3" s="2">
        <f>Ascension_Flower[[#This Row],[Flowers Needed]]-Ascension_Flower[[#This Row],[Flowers Acquired]]</f>
        <v>107</v>
      </c>
      <c r="G3" s="8">
        <f>SUBTOTAL(3,$H$3:H3)</f>
        <v>1</v>
      </c>
      <c r="H3" s="8" t="s">
        <v>73</v>
      </c>
      <c r="I3" s="3" t="s">
        <v>46</v>
      </c>
      <c r="J3" s="2">
        <f>SUMIF(Summary[Stone Name],Ascension_Stones[[#This Row],[Stone Name]],Summary[Silver])</f>
        <v>0</v>
      </c>
      <c r="K3" s="2">
        <v>0</v>
      </c>
      <c r="L3" s="2">
        <f>Ascension_Stones[[#This Row],[Stones
Needed]]-Ascension_Stones[[#This Row],[Stones Acquired]]</f>
        <v>0</v>
      </c>
      <c r="N3" s="8">
        <f>SUBTOTAL(3,$P$3:P3)</f>
        <v>1</v>
      </c>
      <c r="O3" s="8" t="s">
        <v>119</v>
      </c>
      <c r="P3" s="3" t="s">
        <v>390</v>
      </c>
      <c r="Q3" s="2">
        <f>SUMIF(Summary[Mob Name],Ascension_Mob_Materials[[#This Row],[Mob Name]],Summary[1* Mats])</f>
        <v>69</v>
      </c>
      <c r="R3" s="2">
        <v>123</v>
      </c>
      <c r="S3" s="2">
        <f>Ascension_Mob_Materials[[#This Row],[Mats
Needed]]-Ascension_Mob_Materials[[#This Row],[Mats
Acquired]]</f>
        <v>-54</v>
      </c>
    </row>
    <row r="4" spans="1:19" x14ac:dyDescent="0.25">
      <c r="A4" s="8">
        <f>SUBTOTAL(3,$B$3:B4)</f>
        <v>2</v>
      </c>
      <c r="B4" s="3" t="s">
        <v>150</v>
      </c>
      <c r="C4" s="2">
        <f>SUMIF(Summary[Flower Name],Ascension_Flower[[#This Row],[Flower Name]],Summary[Quantity])</f>
        <v>0</v>
      </c>
      <c r="D4" s="2">
        <v>0</v>
      </c>
      <c r="E4" s="2">
        <f>Ascension_Flower[[#This Row],[Flowers Needed]]-Ascension_Flower[[#This Row],[Flowers Acquired]]</f>
        <v>0</v>
      </c>
      <c r="G4" s="8">
        <f>SUBTOTAL(3,$H$3:H4)</f>
        <v>2</v>
      </c>
      <c r="H4" s="8" t="s">
        <v>73</v>
      </c>
      <c r="I4" s="3" t="s">
        <v>45</v>
      </c>
      <c r="J4" s="2">
        <f>SUMIF(Summary[Stone Name],Ascension_Stones[[#This Row],[Stone Name]],Summary[Fragment])</f>
        <v>0</v>
      </c>
      <c r="K4" s="2">
        <v>0</v>
      </c>
      <c r="L4" s="2">
        <f>Ascension_Stones[[#This Row],[Stones
Needed]]-Ascension_Stones[[#This Row],[Stones Acquired]]</f>
        <v>0</v>
      </c>
      <c r="N4" s="8">
        <f>SUBTOTAL(3,$P$3:P4)</f>
        <v>2</v>
      </c>
      <c r="O4" s="8" t="s">
        <v>119</v>
      </c>
      <c r="P4" s="3" t="s">
        <v>391</v>
      </c>
      <c r="Q4" s="2">
        <f>SUMIF(Summary[Mob Name],Ascension_Mob_Materials[[#This Row],[Mob Name]],Summary[2* Mats])</f>
        <v>228</v>
      </c>
      <c r="R4" s="2">
        <v>101</v>
      </c>
      <c r="S4" s="2">
        <f>Ascension_Mob_Materials[[#This Row],[Mats
Needed]]-Ascension_Mob_Materials[[#This Row],[Mats
Acquired]]</f>
        <v>127</v>
      </c>
    </row>
    <row r="5" spans="1:19" x14ac:dyDescent="0.25">
      <c r="A5" s="8">
        <f>SUBTOTAL(3,$B$3:B5)</f>
        <v>3</v>
      </c>
      <c r="B5" s="3" t="s">
        <v>156</v>
      </c>
      <c r="C5" s="2">
        <f>SUMIF(Summary[Flower Name],Ascension_Flower[[#This Row],[Flower Name]],Summary[Quantity])</f>
        <v>310</v>
      </c>
      <c r="D5" s="2">
        <v>186</v>
      </c>
      <c r="E5" s="2">
        <f>Ascension_Flower[[#This Row],[Flowers Needed]]-Ascension_Flower[[#This Row],[Flowers Acquired]]</f>
        <v>124</v>
      </c>
      <c r="G5" s="8">
        <f>SUBTOTAL(3,$H$3:H5)</f>
        <v>3</v>
      </c>
      <c r="H5" s="8" t="s">
        <v>73</v>
      </c>
      <c r="I5" s="3" t="s">
        <v>44</v>
      </c>
      <c r="J5" s="2">
        <f>SUMIF(Summary[Stone Name],Ascension_Stones[[#This Row],[Stone Name]],Summary[Chunk])</f>
        <v>0</v>
      </c>
      <c r="K5" s="2">
        <v>0</v>
      </c>
      <c r="L5" s="2">
        <f>Ascension_Stones[[#This Row],[Stones
Needed]]-Ascension_Stones[[#This Row],[Stones Acquired]]</f>
        <v>0</v>
      </c>
      <c r="N5" s="8">
        <f>SUBTOTAL(3,$P$3:P5)</f>
        <v>3</v>
      </c>
      <c r="O5" s="8" t="s">
        <v>119</v>
      </c>
      <c r="P5" s="3" t="s">
        <v>392</v>
      </c>
      <c r="Q5" s="2">
        <f>SUMIF(Summary[Mob Name],Ascension_Mob_Materials[[#This Row],[Mob Name]],Summary[3* Mats])</f>
        <v>243</v>
      </c>
      <c r="R5" s="2">
        <v>243</v>
      </c>
      <c r="S5" s="2">
        <f>Ascension_Mob_Materials[[#This Row],[Mats
Needed]]-Ascension_Mob_Materials[[#This Row],[Mats
Acquired]]</f>
        <v>0</v>
      </c>
    </row>
    <row r="6" spans="1:19" x14ac:dyDescent="0.25">
      <c r="A6" s="8">
        <f>SUBTOTAL(3,$B$3:B6)</f>
        <v>4</v>
      </c>
      <c r="B6" s="3" t="s">
        <v>118</v>
      </c>
      <c r="C6" s="2">
        <f>SUMIF(Summary[Flower Name],Ascension_Flower[[#This Row],[Flower Name]],Summary[Quantity])</f>
        <v>0</v>
      </c>
      <c r="D6" s="2">
        <v>16</v>
      </c>
      <c r="E6" s="2">
        <f>Ascension_Flower[[#This Row],[Flowers Needed]]-Ascension_Flower[[#This Row],[Flowers Acquired]]</f>
        <v>-16</v>
      </c>
      <c r="G6" s="8">
        <f>SUBTOTAL(3,$H$3:H6)</f>
        <v>4</v>
      </c>
      <c r="H6" s="8" t="s">
        <v>73</v>
      </c>
      <c r="I6" s="3" t="s">
        <v>43</v>
      </c>
      <c r="J6" s="2">
        <f>SUMIF(Summary[Stone Name],Ascension_Stones[[#This Row],[Stone Name]],Summary[Gemstone])</f>
        <v>0</v>
      </c>
      <c r="K6" s="2">
        <v>0</v>
      </c>
      <c r="L6" s="2">
        <f>Ascension_Stones[[#This Row],[Stones
Needed]]-Ascension_Stones[[#This Row],[Stones Acquired]]</f>
        <v>0</v>
      </c>
      <c r="N6" s="8">
        <f>SUBTOTAL(3,$P$3:P6)</f>
        <v>4</v>
      </c>
      <c r="O6" s="8" t="s">
        <v>74</v>
      </c>
      <c r="P6" s="3" t="s">
        <v>393</v>
      </c>
      <c r="Q6" s="2">
        <f>SUMIF(Summary[Mob Name],Ascension_Mob_Materials[[#This Row],[Mob Name]],Summary[1* Mats])</f>
        <v>153</v>
      </c>
      <c r="R6" s="2">
        <v>1896</v>
      </c>
      <c r="S6" s="2">
        <f>Ascension_Mob_Materials[[#This Row],[Mats
Needed]]-Ascension_Mob_Materials[[#This Row],[Mats
Acquired]]</f>
        <v>-1743</v>
      </c>
    </row>
    <row r="7" spans="1:19" x14ac:dyDescent="0.25">
      <c r="A7" s="8">
        <f>SUBTOTAL(3,$B$3:B7)</f>
        <v>5</v>
      </c>
      <c r="B7" s="3" t="s">
        <v>131</v>
      </c>
      <c r="C7" s="2">
        <f>SUMIF(Summary[Flower Name],Ascension_Flower[[#This Row],[Flower Name]],Summary[Quantity])</f>
        <v>60</v>
      </c>
      <c r="D7" s="2">
        <v>8</v>
      </c>
      <c r="E7" s="2">
        <f>Ascension_Flower[[#This Row],[Flowers Needed]]-Ascension_Flower[[#This Row],[Flowers Acquired]]</f>
        <v>52</v>
      </c>
      <c r="G7" s="8">
        <f>SUBTOTAL(3,$H$3:H7)</f>
        <v>5</v>
      </c>
      <c r="H7" s="8" t="s">
        <v>280</v>
      </c>
      <c r="I7" s="3" t="s">
        <v>46</v>
      </c>
      <c r="J7" s="2">
        <f>SUMIF(Summary[Stone Name],Ascension_Stones[[#This Row],[Stone Name]],Summary[Silver])</f>
        <v>0</v>
      </c>
      <c r="K7" s="2">
        <v>0</v>
      </c>
      <c r="L7" s="2">
        <f>Ascension_Stones[[#This Row],[Stones
Needed]]-Ascension_Stones[[#This Row],[Stones Acquired]]</f>
        <v>0</v>
      </c>
      <c r="N7" s="8">
        <f>SUBTOTAL(3,$P$3:P7)</f>
        <v>5</v>
      </c>
      <c r="O7" s="8" t="s">
        <v>74</v>
      </c>
      <c r="P7" s="3" t="s">
        <v>394</v>
      </c>
      <c r="Q7" s="2">
        <f>SUMIF(Summary[Mob Name],Ascension_Mob_Materials[[#This Row],[Mob Name]],Summary[2* Mats])</f>
        <v>468</v>
      </c>
      <c r="R7" s="2">
        <v>451</v>
      </c>
      <c r="S7" s="2">
        <f>Ascension_Mob_Materials[[#This Row],[Mats
Needed]]-Ascension_Mob_Materials[[#This Row],[Mats
Acquired]]</f>
        <v>17</v>
      </c>
    </row>
    <row r="8" spans="1:19" x14ac:dyDescent="0.25">
      <c r="A8" s="8">
        <f>SUBTOTAL(3,$B$3:B8)</f>
        <v>6</v>
      </c>
      <c r="B8" s="3" t="s">
        <v>153</v>
      </c>
      <c r="C8" s="2">
        <f>SUMIF(Summary[Flower Name],Ascension_Flower[[#This Row],[Flower Name]],Summary[Quantity])</f>
        <v>270</v>
      </c>
      <c r="D8" s="2">
        <v>31</v>
      </c>
      <c r="E8" s="2">
        <f>Ascension_Flower[[#This Row],[Flowers Needed]]-Ascension_Flower[[#This Row],[Flowers Acquired]]</f>
        <v>239</v>
      </c>
      <c r="G8" s="8">
        <f>SUBTOTAL(3,$H$3:H8)</f>
        <v>6</v>
      </c>
      <c r="H8" s="8" t="s">
        <v>280</v>
      </c>
      <c r="I8" s="3" t="s">
        <v>45</v>
      </c>
      <c r="J8" s="2">
        <f>SUMIF(Summary[Stone Name],Ascension_Stones[[#This Row],[Stone Name]],Summary[Fragment])</f>
        <v>27</v>
      </c>
      <c r="K8" s="2">
        <v>29</v>
      </c>
      <c r="L8" s="2">
        <f>Ascension_Stones[[#This Row],[Stones
Needed]]-Ascension_Stones[[#This Row],[Stones Acquired]]</f>
        <v>-2</v>
      </c>
      <c r="N8" s="8">
        <f>SUBTOTAL(3,$P$3:P8)</f>
        <v>6</v>
      </c>
      <c r="O8" s="8" t="s">
        <v>74</v>
      </c>
      <c r="P8" s="3" t="s">
        <v>395</v>
      </c>
      <c r="Q8" s="2">
        <f>SUMIF(Summary[Mob Name],Ascension_Mob_Materials[[#This Row],[Mob Name]],Summary[3* Mats])</f>
        <v>575</v>
      </c>
      <c r="R8" s="2">
        <v>97</v>
      </c>
      <c r="S8" s="2">
        <f>Ascension_Mob_Materials[[#This Row],[Mats
Needed]]-Ascension_Mob_Materials[[#This Row],[Mats
Acquired]]</f>
        <v>478</v>
      </c>
    </row>
    <row r="9" spans="1:19" x14ac:dyDescent="0.25">
      <c r="A9" s="8">
        <f>SUBTOTAL(3,$B$3:B9)</f>
        <v>7</v>
      </c>
      <c r="B9" s="3" t="s">
        <v>109</v>
      </c>
      <c r="C9" s="2">
        <f>SUMIF(Summary[Flower Name],Ascension_Flower[[#This Row],[Flower Name]],Summary[Quantity])</f>
        <v>330</v>
      </c>
      <c r="D9" s="2">
        <v>69</v>
      </c>
      <c r="E9" s="2">
        <f>Ascension_Flower[[#This Row],[Flowers Needed]]-Ascension_Flower[[#This Row],[Flowers Acquired]]</f>
        <v>261</v>
      </c>
      <c r="G9" s="8">
        <f>SUBTOTAL(3,$H$3:H9)</f>
        <v>7</v>
      </c>
      <c r="H9" s="8" t="s">
        <v>280</v>
      </c>
      <c r="I9" s="3" t="s">
        <v>44</v>
      </c>
      <c r="J9" s="2">
        <f>SUMIF(Summary[Stone Name],Ascension_Stones[[#This Row],[Stone Name]],Summary[Chunk])</f>
        <v>36</v>
      </c>
      <c r="K9" s="2">
        <v>37</v>
      </c>
      <c r="L9" s="2">
        <f>Ascension_Stones[[#This Row],[Stones
Needed]]-Ascension_Stones[[#This Row],[Stones Acquired]]</f>
        <v>-1</v>
      </c>
      <c r="N9" s="8">
        <f>SUBTOTAL(3,$P$3:P9)</f>
        <v>7</v>
      </c>
      <c r="O9" s="8" t="s">
        <v>132</v>
      </c>
      <c r="P9" s="3" t="s">
        <v>396</v>
      </c>
      <c r="Q9" s="2">
        <f>SUMIF(Summary[Mob Name],Ascension_Mob_Materials[[#This Row],[Mob Name]],Summary[1* Mats])</f>
        <v>42</v>
      </c>
      <c r="R9" s="2">
        <v>1927</v>
      </c>
      <c r="S9" s="2">
        <f>Ascension_Mob_Materials[[#This Row],[Mats
Needed]]-Ascension_Mob_Materials[[#This Row],[Mats
Acquired]]</f>
        <v>-1885</v>
      </c>
    </row>
    <row r="10" spans="1:19" x14ac:dyDescent="0.25">
      <c r="A10" s="8">
        <f>SUBTOTAL(3,$B$3:B10)</f>
        <v>8</v>
      </c>
      <c r="B10" s="3" t="s">
        <v>86</v>
      </c>
      <c r="C10" s="2">
        <f>SUMIF(Summary[Flower Name],Ascension_Flower[[#This Row],[Flower Name]],Summary[Quantity])</f>
        <v>155</v>
      </c>
      <c r="D10" s="2">
        <v>18</v>
      </c>
      <c r="E10" s="2">
        <f>Ascension_Flower[[#This Row],[Flowers Needed]]-Ascension_Flower[[#This Row],[Flowers Acquired]]</f>
        <v>137</v>
      </c>
      <c r="G10" s="8">
        <f>SUBTOTAL(3,$H$3:H10)</f>
        <v>8</v>
      </c>
      <c r="H10" s="8" t="s">
        <v>280</v>
      </c>
      <c r="I10" s="3" t="s">
        <v>43</v>
      </c>
      <c r="J10" s="2">
        <f>SUMIF(Summary[Stone Name],Ascension_Stones[[#This Row],[Stone Name]],Summary[Gemstone])</f>
        <v>30</v>
      </c>
      <c r="K10" s="2">
        <v>22</v>
      </c>
      <c r="L10" s="2">
        <f>Ascension_Stones[[#This Row],[Stones
Needed]]-Ascension_Stones[[#This Row],[Stones Acquired]]</f>
        <v>8</v>
      </c>
      <c r="N10" s="8">
        <f>SUBTOTAL(3,$P$3:P10)</f>
        <v>8</v>
      </c>
      <c r="O10" s="8" t="s">
        <v>132</v>
      </c>
      <c r="P10" s="3" t="s">
        <v>397</v>
      </c>
      <c r="Q10" s="2">
        <f>SUMIF(Summary[Mob Name],Ascension_Mob_Materials[[#This Row],[Mob Name]],Summary[2* Mats])</f>
        <v>212</v>
      </c>
      <c r="R10" s="2">
        <v>33</v>
      </c>
      <c r="S10" s="2">
        <f>Ascension_Mob_Materials[[#This Row],[Mats
Needed]]-Ascension_Mob_Materials[[#This Row],[Mats
Acquired]]</f>
        <v>179</v>
      </c>
    </row>
    <row r="11" spans="1:19" x14ac:dyDescent="0.25">
      <c r="A11" s="8">
        <f>SUBTOTAL(3,$B$3:B11)</f>
        <v>9</v>
      </c>
      <c r="B11" s="3" t="s">
        <v>227</v>
      </c>
      <c r="C11" s="2">
        <f>SUMIF(Summary[Flower Name],Ascension_Flower[[#This Row],[Flower Name]],Summary[Quantity])</f>
        <v>168</v>
      </c>
      <c r="D11" s="2">
        <v>78</v>
      </c>
      <c r="E11" s="2">
        <f>Ascension_Flower[[#This Row],[Flowers Needed]]-Ascension_Flower[[#This Row],[Flowers Acquired]]</f>
        <v>90</v>
      </c>
      <c r="G11" s="8">
        <f>SUBTOTAL(3,$H$3:H11)</f>
        <v>9</v>
      </c>
      <c r="H11" s="8" t="s">
        <v>256</v>
      </c>
      <c r="I11" s="3" t="s">
        <v>46</v>
      </c>
      <c r="J11" s="2">
        <f>SUMIF(Summary[Stone Name],Ascension_Stones[[#This Row],[Stone Name]],Summary[Silver])</f>
        <v>0</v>
      </c>
      <c r="K11" s="2">
        <v>0</v>
      </c>
      <c r="L11" s="2">
        <f>Ascension_Stones[[#This Row],[Stones
Needed]]-Ascension_Stones[[#This Row],[Stones Acquired]]</f>
        <v>0</v>
      </c>
      <c r="N11" s="8">
        <f>SUBTOTAL(3,$P$3:P11)</f>
        <v>9</v>
      </c>
      <c r="O11" s="8" t="s">
        <v>132</v>
      </c>
      <c r="P11" s="3" t="s">
        <v>398</v>
      </c>
      <c r="Q11" s="2">
        <f>SUMIF(Summary[Mob Name],Ascension_Mob_Materials[[#This Row],[Mob Name]],Summary[3* Mats])</f>
        <v>294</v>
      </c>
      <c r="R11" s="2">
        <v>1</v>
      </c>
      <c r="S11" s="2">
        <f>Ascension_Mob_Materials[[#This Row],[Mats
Needed]]-Ascension_Mob_Materials[[#This Row],[Mats
Acquired]]</f>
        <v>293</v>
      </c>
    </row>
    <row r="12" spans="1:19" x14ac:dyDescent="0.25">
      <c r="A12" s="8">
        <f>SUBTOTAL(3,$B$3:B12)</f>
        <v>10</v>
      </c>
      <c r="B12" s="3" t="s">
        <v>293</v>
      </c>
      <c r="C12" s="2">
        <f>SUMIF(Summary[Flower Name],Ascension_Flower[[#This Row],[Flower Name]],Summary[Quantity])</f>
        <v>165</v>
      </c>
      <c r="D12" s="2">
        <v>112</v>
      </c>
      <c r="E12" s="2">
        <f>Ascension_Flower[[#This Row],[Flowers Needed]]-Ascension_Flower[[#This Row],[Flowers Acquired]]</f>
        <v>53</v>
      </c>
      <c r="G12" s="8">
        <f>SUBTOTAL(3,$H$3:H12)</f>
        <v>10</v>
      </c>
      <c r="H12" s="8" t="s">
        <v>256</v>
      </c>
      <c r="I12" s="3" t="s">
        <v>45</v>
      </c>
      <c r="J12" s="2">
        <f>SUMIF(Summary[Stone Name],Ascension_Stones[[#This Row],[Stone Name]],Summary[Fragment])</f>
        <v>9</v>
      </c>
      <c r="K12" s="2">
        <v>27</v>
      </c>
      <c r="L12" s="2">
        <f>Ascension_Stones[[#This Row],[Stones
Needed]]-Ascension_Stones[[#This Row],[Stones Acquired]]</f>
        <v>-18</v>
      </c>
      <c r="N12" s="8">
        <f>SUBTOTAL(3,$P$3:P12)</f>
        <v>10</v>
      </c>
      <c r="O12" s="8" t="s">
        <v>157</v>
      </c>
      <c r="P12" s="3" t="s">
        <v>399</v>
      </c>
      <c r="Q12" s="2">
        <f>SUMIF(Summary[Mob Name],Ascension_Mob_Materials[[#This Row],[Mob Name]],Summary[1* Mats])</f>
        <v>63</v>
      </c>
      <c r="R12" s="2">
        <v>1506</v>
      </c>
      <c r="S12" s="2">
        <f>Ascension_Mob_Materials[[#This Row],[Mats
Needed]]-Ascension_Mob_Materials[[#This Row],[Mats
Acquired]]</f>
        <v>-1443</v>
      </c>
    </row>
    <row r="13" spans="1:19" x14ac:dyDescent="0.25">
      <c r="A13" s="8">
        <f>SUBTOTAL(3,$B$3:B13)</f>
        <v>11</v>
      </c>
      <c r="B13" s="3" t="s">
        <v>248</v>
      </c>
      <c r="C13" s="2">
        <f>SUMIF(Summary[Flower Name],Ascension_Flower[[#This Row],[Flower Name]],Summary[Quantity])</f>
        <v>155</v>
      </c>
      <c r="D13" s="2">
        <v>205</v>
      </c>
      <c r="E13" s="2">
        <f>Ascension_Flower[[#This Row],[Flowers Needed]]-Ascension_Flower[[#This Row],[Flowers Acquired]]</f>
        <v>-50</v>
      </c>
      <c r="G13" s="8">
        <f>SUBTOTAL(3,$H$3:H13)</f>
        <v>11</v>
      </c>
      <c r="H13" s="8" t="s">
        <v>256</v>
      </c>
      <c r="I13" s="3" t="s">
        <v>44</v>
      </c>
      <c r="J13" s="2">
        <f>SUMIF(Summary[Stone Name],Ascension_Stones[[#This Row],[Stone Name]],Summary[Chunk])</f>
        <v>9</v>
      </c>
      <c r="K13" s="2">
        <v>9</v>
      </c>
      <c r="L13" s="2">
        <f>Ascension_Stones[[#This Row],[Stones
Needed]]-Ascension_Stones[[#This Row],[Stones Acquired]]</f>
        <v>0</v>
      </c>
      <c r="N13" s="8">
        <f>SUBTOTAL(3,$P$3:P13)</f>
        <v>11</v>
      </c>
      <c r="O13" s="8" t="s">
        <v>157</v>
      </c>
      <c r="P13" s="3" t="s">
        <v>400</v>
      </c>
      <c r="Q13" s="2">
        <f>SUMIF(Summary[Mob Name],Ascension_Mob_Materials[[#This Row],[Mob Name]],Summary[2* Mats])</f>
        <v>320</v>
      </c>
      <c r="R13" s="2">
        <v>156</v>
      </c>
      <c r="S13" s="2">
        <f>Ascension_Mob_Materials[[#This Row],[Mats
Needed]]-Ascension_Mob_Materials[[#This Row],[Mats
Acquired]]</f>
        <v>164</v>
      </c>
    </row>
    <row r="14" spans="1:19" x14ac:dyDescent="0.25">
      <c r="A14" s="8">
        <f>SUBTOTAL(3,$B$3:B14)</f>
        <v>12</v>
      </c>
      <c r="B14" s="3" t="s">
        <v>258</v>
      </c>
      <c r="C14" s="2">
        <f>SUMIF(Summary[Flower Name],Ascension_Flower[[#This Row],[Flower Name]],Summary[Quantity])</f>
        <v>165</v>
      </c>
      <c r="D14" s="2">
        <v>23</v>
      </c>
      <c r="E14" s="2">
        <f>Ascension_Flower[[#This Row],[Flowers Needed]]-Ascension_Flower[[#This Row],[Flowers Acquired]]</f>
        <v>142</v>
      </c>
      <c r="G14" s="8">
        <f>SUBTOTAL(3,$H$3:H14)</f>
        <v>12</v>
      </c>
      <c r="H14" s="8" t="s">
        <v>256</v>
      </c>
      <c r="I14" s="3" t="s">
        <v>43</v>
      </c>
      <c r="J14" s="2">
        <f>SUMIF(Summary[Stone Name],Ascension_Stones[[#This Row],[Stone Name]],Summary[Gemstone])</f>
        <v>6</v>
      </c>
      <c r="K14" s="2">
        <v>6</v>
      </c>
      <c r="L14" s="2">
        <f>Ascension_Stones[[#This Row],[Stones
Needed]]-Ascension_Stones[[#This Row],[Stones Acquired]]</f>
        <v>0</v>
      </c>
      <c r="N14" s="8">
        <f>SUBTOTAL(3,$P$3:P14)</f>
        <v>12</v>
      </c>
      <c r="O14" s="8" t="s">
        <v>157</v>
      </c>
      <c r="P14" s="3" t="s">
        <v>401</v>
      </c>
      <c r="Q14" s="2">
        <f>SUMIF(Summary[Mob Name],Ascension_Mob_Materials[[#This Row],[Mob Name]],Summary[3* Mats])</f>
        <v>317</v>
      </c>
      <c r="R14" s="2">
        <v>27</v>
      </c>
      <c r="S14" s="2">
        <f>Ascension_Mob_Materials[[#This Row],[Mats
Needed]]-Ascension_Mob_Materials[[#This Row],[Mats
Acquired]]</f>
        <v>290</v>
      </c>
    </row>
    <row r="15" spans="1:19" x14ac:dyDescent="0.25">
      <c r="A15" s="8">
        <f>SUBTOTAL(3,$B$3:B15)</f>
        <v>13</v>
      </c>
      <c r="B15" s="3" t="s">
        <v>210</v>
      </c>
      <c r="C15" s="2">
        <f>SUMIF(Summary[Flower Name],Ascension_Flower[[#This Row],[Flower Name]],Summary[Quantity])</f>
        <v>165</v>
      </c>
      <c r="D15" s="2">
        <v>156</v>
      </c>
      <c r="E15" s="2">
        <f>Ascension_Flower[[#This Row],[Flowers Needed]]-Ascension_Flower[[#This Row],[Flowers Acquired]]</f>
        <v>9</v>
      </c>
      <c r="G15" s="8">
        <f>SUBTOTAL(3,$H$3:H15)</f>
        <v>13</v>
      </c>
      <c r="H15" s="8" t="s">
        <v>194</v>
      </c>
      <c r="I15" s="3" t="s">
        <v>46</v>
      </c>
      <c r="J15" s="2">
        <f>SUMIF(Summary[Stone Name],Ascension_Stones[[#This Row],[Stone Name]],Summary[Silver])</f>
        <v>0</v>
      </c>
      <c r="K15" s="2">
        <v>0</v>
      </c>
      <c r="L15" s="2">
        <f>Ascension_Stones[[#This Row],[Stones
Needed]]-Ascension_Stones[[#This Row],[Stones Acquired]]</f>
        <v>0</v>
      </c>
      <c r="N15" s="8">
        <f>SUBTOTAL(3,$P$3:P15)</f>
        <v>13</v>
      </c>
      <c r="O15" s="3" t="s">
        <v>179</v>
      </c>
      <c r="P15" s="3" t="s">
        <v>402</v>
      </c>
      <c r="Q15" s="2">
        <f>SUMIF(Summary[Mob Name],Ascension_Mob_Materials[[#This Row],[Mob Name]],Summary[1* Mats])</f>
        <v>93</v>
      </c>
      <c r="R15" s="2">
        <v>1644</v>
      </c>
      <c r="S15" s="2">
        <f>Ascension_Mob_Materials[[#This Row],[Mats
Needed]]-Ascension_Mob_Materials[[#This Row],[Mats
Acquired]]</f>
        <v>-1551</v>
      </c>
    </row>
    <row r="16" spans="1:19" x14ac:dyDescent="0.25">
      <c r="A16" s="8">
        <f>SUBTOTAL(3,$B$3:B16)</f>
        <v>14</v>
      </c>
      <c r="B16" s="3" t="s">
        <v>207</v>
      </c>
      <c r="C16" s="2">
        <f>SUMIF(Summary[Flower Name],Ascension_Flower[[#This Row],[Flower Name]],Summary[Quantity])</f>
        <v>135</v>
      </c>
      <c r="D16" s="2">
        <v>6</v>
      </c>
      <c r="E16" s="2">
        <f>Ascension_Flower[[#This Row],[Flowers Needed]]-Ascension_Flower[[#This Row],[Flowers Acquired]]</f>
        <v>129</v>
      </c>
      <c r="G16" s="8">
        <f>SUBTOTAL(3,$H$3:H16)</f>
        <v>14</v>
      </c>
      <c r="H16" s="8" t="s">
        <v>194</v>
      </c>
      <c r="I16" s="3" t="s">
        <v>45</v>
      </c>
      <c r="J16" s="2">
        <f>SUMIF(Summary[Stone Name],Ascension_Stones[[#This Row],[Stone Name]],Summary[Fragment])</f>
        <v>45</v>
      </c>
      <c r="K16" s="2">
        <v>46</v>
      </c>
      <c r="L16" s="2">
        <f>Ascension_Stones[[#This Row],[Stones
Needed]]-Ascension_Stones[[#This Row],[Stones Acquired]]</f>
        <v>-1</v>
      </c>
      <c r="N16" s="8">
        <f>SUBTOTAL(3,$P$3:P16)</f>
        <v>14</v>
      </c>
      <c r="O16" s="3" t="s">
        <v>179</v>
      </c>
      <c r="P16" s="3" t="s">
        <v>403</v>
      </c>
      <c r="Q16" s="2">
        <f>SUMIF(Summary[Mob Name],Ascension_Mob_Materials[[#This Row],[Mob Name]],Summary[2* Mats])</f>
        <v>298</v>
      </c>
      <c r="R16" s="2">
        <v>298</v>
      </c>
      <c r="S16" s="2">
        <f>Ascension_Mob_Materials[[#This Row],[Mats
Needed]]-Ascension_Mob_Materials[[#This Row],[Mats
Acquired]]</f>
        <v>0</v>
      </c>
    </row>
    <row r="17" spans="1:19" x14ac:dyDescent="0.25">
      <c r="A17" s="8">
        <f>SUBTOTAL(3,$B$3:B17)</f>
        <v>15</v>
      </c>
      <c r="B17" s="3" t="s">
        <v>262</v>
      </c>
      <c r="C17" s="2">
        <f>SUMIF(Summary[Flower Name],Ascension_Flower[[#This Row],[Flower Name]],Summary[Quantity])</f>
        <v>0</v>
      </c>
      <c r="D17" s="2">
        <v>24</v>
      </c>
      <c r="E17" s="2">
        <f>Ascension_Flower[[#This Row],[Flowers Needed]]-Ascension_Flower[[#This Row],[Flowers Acquired]]</f>
        <v>-24</v>
      </c>
      <c r="G17" s="8">
        <f>SUBTOTAL(3,$H$3:H17)</f>
        <v>15</v>
      </c>
      <c r="H17" s="8" t="s">
        <v>194</v>
      </c>
      <c r="I17" s="3" t="s">
        <v>44</v>
      </c>
      <c r="J17" s="2">
        <f>SUMIF(Summary[Stone Name],Ascension_Stones[[#This Row],[Stone Name]],Summary[Chunk])</f>
        <v>54</v>
      </c>
      <c r="K17" s="2">
        <v>37</v>
      </c>
      <c r="L17" s="2">
        <f>Ascension_Stones[[#This Row],[Stones
Needed]]-Ascension_Stones[[#This Row],[Stones Acquired]]</f>
        <v>17</v>
      </c>
      <c r="N17" s="8">
        <f>SUBTOTAL(3,$P$3:P17)</f>
        <v>15</v>
      </c>
      <c r="O17" s="3" t="s">
        <v>179</v>
      </c>
      <c r="P17" s="3" t="s">
        <v>404</v>
      </c>
      <c r="Q17" s="2">
        <f>SUMIF(Summary[Mob Name],Ascension_Mob_Materials[[#This Row],[Mob Name]],Summary[3* Mats])</f>
        <v>325</v>
      </c>
      <c r="R17" s="2">
        <v>327</v>
      </c>
      <c r="S17" s="2">
        <f>Ascension_Mob_Materials[[#This Row],[Mats
Needed]]-Ascension_Mob_Materials[[#This Row],[Mats
Acquired]]</f>
        <v>-2</v>
      </c>
    </row>
    <row r="18" spans="1:19" x14ac:dyDescent="0.25">
      <c r="A18" s="8">
        <f>SUBTOTAL(3,$B$3:B18)</f>
        <v>16</v>
      </c>
      <c r="B18" s="3" t="s">
        <v>99</v>
      </c>
      <c r="C18" s="2">
        <f>SUMIF(Summary[Flower Name],Ascension_Flower[[#This Row],[Flower Name]],Summary[Quantity])</f>
        <v>165</v>
      </c>
      <c r="D18" s="2">
        <v>75</v>
      </c>
      <c r="E18" s="2">
        <f>Ascension_Flower[[#This Row],[Flowers Needed]]-Ascension_Flower[[#This Row],[Flowers Acquired]]</f>
        <v>90</v>
      </c>
      <c r="G18" s="8">
        <f>SUBTOTAL(3,$H$3:H18)</f>
        <v>16</v>
      </c>
      <c r="H18" s="8" t="s">
        <v>194</v>
      </c>
      <c r="I18" s="3" t="s">
        <v>43</v>
      </c>
      <c r="J18" s="2">
        <f>SUMIF(Summary[Stone Name],Ascension_Stones[[#This Row],[Stone Name]],Summary[Gemstone])</f>
        <v>36</v>
      </c>
      <c r="K18" s="2">
        <v>3</v>
      </c>
      <c r="L18" s="2">
        <f>Ascension_Stones[[#This Row],[Stones
Needed]]-Ascension_Stones[[#This Row],[Stones Acquired]]</f>
        <v>33</v>
      </c>
      <c r="N18" s="8">
        <f>SUBTOTAL(3,$P$3:P18)</f>
        <v>16</v>
      </c>
      <c r="O18" s="8" t="s">
        <v>93</v>
      </c>
      <c r="P18" s="3" t="s">
        <v>405</v>
      </c>
      <c r="Q18" s="2">
        <f>SUMIF(Summary[Mob Name],Ascension_Mob_Materials[[#This Row],[Mob Name]],Summary[1* Mats])</f>
        <v>147</v>
      </c>
      <c r="R18" s="2">
        <v>2574</v>
      </c>
      <c r="S18" s="2">
        <f>Ascension_Mob_Materials[[#This Row],[Mats
Needed]]-Ascension_Mob_Materials[[#This Row],[Mats
Acquired]]</f>
        <v>-2427</v>
      </c>
    </row>
    <row r="19" spans="1:19" x14ac:dyDescent="0.25">
      <c r="A19" s="8">
        <f>SUBTOTAL(3,$B$3:B19)</f>
        <v>17</v>
      </c>
      <c r="B19" s="3" t="s">
        <v>269</v>
      </c>
      <c r="C19" s="2">
        <f>SUMIF(Summary[Flower Name],Ascension_Flower[[#This Row],[Flower Name]],Summary[Quantity])</f>
        <v>0</v>
      </c>
      <c r="D19" s="2">
        <v>19</v>
      </c>
      <c r="E19" s="2">
        <f>Ascension_Flower[[#This Row],[Flowers Needed]]-Ascension_Flower[[#This Row],[Flowers Acquired]]</f>
        <v>-19</v>
      </c>
      <c r="G19" s="8">
        <f>SUBTOTAL(3,$H$3:H19)</f>
        <v>17</v>
      </c>
      <c r="H19" s="8" t="s">
        <v>217</v>
      </c>
      <c r="I19" s="3" t="s">
        <v>46</v>
      </c>
      <c r="J19" s="2">
        <f>SUMIF(Summary[Stone Name],Ascension_Stones[[#This Row],[Stone Name]],Summary[Silver])</f>
        <v>1</v>
      </c>
      <c r="K19" s="2">
        <v>3</v>
      </c>
      <c r="L19" s="2">
        <f>Ascension_Stones[[#This Row],[Stones
Needed]]-Ascension_Stones[[#This Row],[Stones Acquired]]</f>
        <v>-2</v>
      </c>
      <c r="N19" s="8">
        <f>SUBTOTAL(3,$P$3:P19)</f>
        <v>17</v>
      </c>
      <c r="O19" s="8" t="s">
        <v>93</v>
      </c>
      <c r="P19" s="3" t="s">
        <v>406</v>
      </c>
      <c r="Q19" s="2">
        <f>SUMIF(Summary[Mob Name],Ascension_Mob_Materials[[#This Row],[Mob Name]],Summary[2* Mats])</f>
        <v>545</v>
      </c>
      <c r="R19" s="2">
        <v>293</v>
      </c>
      <c r="S19" s="2">
        <f>Ascension_Mob_Materials[[#This Row],[Mats
Needed]]-Ascension_Mob_Materials[[#This Row],[Mats
Acquired]]</f>
        <v>252</v>
      </c>
    </row>
    <row r="20" spans="1:19" x14ac:dyDescent="0.25">
      <c r="A20" s="8">
        <f>SUBTOTAL(3,$B$3:B20)</f>
        <v>18</v>
      </c>
      <c r="B20" s="3" t="s">
        <v>203</v>
      </c>
      <c r="C20" s="2">
        <f>SUMIF(Summary[Flower Name],Ascension_Flower[[#This Row],[Flower Name]],Summary[Quantity])</f>
        <v>165</v>
      </c>
      <c r="D20" s="2">
        <v>24</v>
      </c>
      <c r="E20" s="2">
        <f>Ascension_Flower[[#This Row],[Flowers Needed]]-Ascension_Flower[[#This Row],[Flowers Acquired]]</f>
        <v>141</v>
      </c>
      <c r="G20" s="8">
        <f>SUBTOTAL(3,$H$3:H20)</f>
        <v>18</v>
      </c>
      <c r="H20" s="8" t="s">
        <v>217</v>
      </c>
      <c r="I20" s="3" t="s">
        <v>45</v>
      </c>
      <c r="J20" s="2">
        <f>SUMIF(Summary[Stone Name],Ascension_Stones[[#This Row],[Stone Name]],Summary[Fragment])</f>
        <v>9</v>
      </c>
      <c r="K20" s="2">
        <v>71</v>
      </c>
      <c r="L20" s="2">
        <f>Ascension_Stones[[#This Row],[Stones
Needed]]-Ascension_Stones[[#This Row],[Stones Acquired]]</f>
        <v>-62</v>
      </c>
      <c r="N20" s="8">
        <f>SUBTOTAL(3,$P$3:P20)</f>
        <v>18</v>
      </c>
      <c r="O20" s="8" t="s">
        <v>93</v>
      </c>
      <c r="P20" s="3" t="s">
        <v>407</v>
      </c>
      <c r="Q20" s="2">
        <f>SUMIF(Summary[Mob Name],Ascension_Mob_Materials[[#This Row],[Mob Name]],Summary[3* Mats])</f>
        <v>602</v>
      </c>
      <c r="R20" s="2">
        <v>65</v>
      </c>
      <c r="S20" s="2">
        <f>Ascension_Mob_Materials[[#This Row],[Mats
Needed]]-Ascension_Mob_Materials[[#This Row],[Mats
Acquired]]</f>
        <v>537</v>
      </c>
    </row>
    <row r="21" spans="1:19" x14ac:dyDescent="0.25">
      <c r="A21" s="8">
        <f>SUBTOTAL(3,$B$3:B21)</f>
        <v>19</v>
      </c>
      <c r="B21" s="3" t="s">
        <v>229</v>
      </c>
      <c r="C21" s="2">
        <f>SUMIF(Summary[Flower Name],Ascension_Flower[[#This Row],[Flower Name]],Summary[Quantity])</f>
        <v>0</v>
      </c>
      <c r="D21" s="2">
        <v>54</v>
      </c>
      <c r="E21" s="2">
        <f>Ascension_Flower[[#This Row],[Flowers Needed]]-Ascension_Flower[[#This Row],[Flowers Acquired]]</f>
        <v>-54</v>
      </c>
      <c r="G21" s="8">
        <f>SUBTOTAL(3,$H$3:H21)</f>
        <v>19</v>
      </c>
      <c r="H21" s="8" t="s">
        <v>217</v>
      </c>
      <c r="I21" s="3" t="s">
        <v>44</v>
      </c>
      <c r="J21" s="2">
        <f>SUMIF(Summary[Stone Name],Ascension_Stones[[#This Row],[Stone Name]],Summary[Chunk])</f>
        <v>30</v>
      </c>
      <c r="K21" s="2">
        <v>31</v>
      </c>
      <c r="L21" s="2">
        <f>Ascension_Stones[[#This Row],[Stones
Needed]]-Ascension_Stones[[#This Row],[Stones Acquired]]</f>
        <v>-1</v>
      </c>
      <c r="N21" s="8">
        <f>SUBTOTAL(3,$P$3:P21)</f>
        <v>19</v>
      </c>
      <c r="O21" s="8" t="s">
        <v>110</v>
      </c>
      <c r="P21" s="3" t="s">
        <v>408</v>
      </c>
      <c r="Q21" s="2">
        <f>SUMIF(Summary[Mob Name],Ascension_Mob_Materials[[#This Row],[Mob Name]],Summary[1* Mats])</f>
        <v>63</v>
      </c>
      <c r="R21" s="2">
        <v>567</v>
      </c>
      <c r="S21" s="2">
        <f>Ascension_Mob_Materials[[#This Row],[Mats
Needed]]-Ascension_Mob_Materials[[#This Row],[Mats
Acquired]]</f>
        <v>-504</v>
      </c>
    </row>
    <row r="22" spans="1:19" x14ac:dyDescent="0.25">
      <c r="A22" s="8">
        <f>SUBTOTAL(3,$B$3:B22)</f>
        <v>20</v>
      </c>
      <c r="B22" s="3" t="s">
        <v>175</v>
      </c>
      <c r="C22" s="2">
        <f>SUMIF(Summary[Flower Name],Ascension_Flower[[#This Row],[Flower Name]],Summary[Quantity])</f>
        <v>165</v>
      </c>
      <c r="D22" s="2">
        <v>3</v>
      </c>
      <c r="E22" s="2">
        <f>Ascension_Flower[[#This Row],[Flowers Needed]]-Ascension_Flower[[#This Row],[Flowers Acquired]]</f>
        <v>162</v>
      </c>
      <c r="G22" s="8">
        <f>SUBTOTAL(3,$H$3:H22)</f>
        <v>20</v>
      </c>
      <c r="H22" s="8" t="s">
        <v>217</v>
      </c>
      <c r="I22" s="3" t="s">
        <v>43</v>
      </c>
      <c r="J22" s="2">
        <f>SUMIF(Summary[Stone Name],Ascension_Stones[[#This Row],[Stone Name]],Summary[Gemstone])</f>
        <v>30</v>
      </c>
      <c r="K22" s="2">
        <v>30</v>
      </c>
      <c r="L22" s="2">
        <f>Ascension_Stones[[#This Row],[Stones
Needed]]-Ascension_Stones[[#This Row],[Stones Acquired]]</f>
        <v>0</v>
      </c>
      <c r="N22" s="8">
        <f>SUBTOTAL(3,$P$3:P22)</f>
        <v>20</v>
      </c>
      <c r="O22" s="8" t="s">
        <v>110</v>
      </c>
      <c r="P22" s="3" t="s">
        <v>409</v>
      </c>
      <c r="Q22" s="2">
        <f>SUMIF(Summary[Mob Name],Ascension_Mob_Materials[[#This Row],[Mob Name]],Summary[2* Mats])</f>
        <v>224</v>
      </c>
      <c r="R22" s="2">
        <v>75</v>
      </c>
      <c r="S22" s="2">
        <f>Ascension_Mob_Materials[[#This Row],[Mats
Needed]]-Ascension_Mob_Materials[[#This Row],[Mats
Acquired]]</f>
        <v>149</v>
      </c>
    </row>
    <row r="23" spans="1:19" x14ac:dyDescent="0.25">
      <c r="A23" s="8">
        <f>SUBTOTAL(3,$B$3:B23)</f>
        <v>21</v>
      </c>
      <c r="B23" s="3" t="s">
        <v>216</v>
      </c>
      <c r="C23" s="2">
        <f>SUMIF(Summary[Flower Name],Ascension_Flower[[#This Row],[Flower Name]],Summary[Quantity])</f>
        <v>195</v>
      </c>
      <c r="D23" s="2">
        <v>173</v>
      </c>
      <c r="E23" s="2">
        <f>Ascension_Flower[[#This Row],[Flowers Needed]]-Ascension_Flower[[#This Row],[Flowers Acquired]]</f>
        <v>22</v>
      </c>
      <c r="G23" s="8">
        <f>SUBTOTAL(3,$H$3:H23)</f>
        <v>21</v>
      </c>
      <c r="H23" s="8" t="s">
        <v>80</v>
      </c>
      <c r="I23" s="3" t="s">
        <v>46</v>
      </c>
      <c r="J23" s="2">
        <f>SUMIF(Summary[Stone Name],Ascension_Stones[[#This Row],[Stone Name]],Summary[Silver])</f>
        <v>0</v>
      </c>
      <c r="K23" s="2">
        <v>1</v>
      </c>
      <c r="L23" s="2">
        <f>Ascension_Stones[[#This Row],[Stones
Needed]]-Ascension_Stones[[#This Row],[Stones Acquired]]</f>
        <v>-1</v>
      </c>
      <c r="N23" s="8">
        <f>SUBTOTAL(3,$P$3:P23)</f>
        <v>21</v>
      </c>
      <c r="O23" s="8" t="s">
        <v>110</v>
      </c>
      <c r="P23" s="3" t="s">
        <v>410</v>
      </c>
      <c r="Q23" s="2">
        <f>SUMIF(Summary[Mob Name],Ascension_Mob_Materials[[#This Row],[Mob Name]],Summary[3* Mats])</f>
        <v>299</v>
      </c>
      <c r="R23" s="2">
        <v>35</v>
      </c>
      <c r="S23" s="2">
        <f>Ascension_Mob_Materials[[#This Row],[Mats
Needed]]-Ascension_Mob_Materials[[#This Row],[Mats
Acquired]]</f>
        <v>264</v>
      </c>
    </row>
    <row r="24" spans="1:19" x14ac:dyDescent="0.25">
      <c r="A24" s="8">
        <f>SUBTOTAL(3,$B$3:B24)</f>
        <v>22</v>
      </c>
      <c r="B24" s="3" t="s">
        <v>106</v>
      </c>
      <c r="C24" s="2">
        <f>SUMIF(Summary[Flower Name],Ascension_Flower[[#This Row],[Flower Name]],Summary[Quantity])</f>
        <v>135</v>
      </c>
      <c r="D24" s="2">
        <v>42</v>
      </c>
      <c r="E24" s="2">
        <f>Ascension_Flower[[#This Row],[Flowers Needed]]-Ascension_Flower[[#This Row],[Flowers Acquired]]</f>
        <v>93</v>
      </c>
      <c r="G24" s="8">
        <f>SUBTOTAL(3,$H$3:H24)</f>
        <v>22</v>
      </c>
      <c r="H24" s="8" t="s">
        <v>80</v>
      </c>
      <c r="I24" s="3" t="s">
        <v>45</v>
      </c>
      <c r="J24" s="2">
        <f>SUMIF(Summary[Stone Name],Ascension_Stones[[#This Row],[Stone Name]],Summary[Fragment])</f>
        <v>27</v>
      </c>
      <c r="K24" s="2">
        <v>29</v>
      </c>
      <c r="L24" s="2">
        <f>Ascension_Stones[[#This Row],[Stones
Needed]]-Ascension_Stones[[#This Row],[Stones Acquired]]</f>
        <v>-2</v>
      </c>
      <c r="N24" s="8">
        <f>SUBTOTAL(3,$P$3:P24)</f>
        <v>22</v>
      </c>
      <c r="O24" s="8" t="s">
        <v>125</v>
      </c>
      <c r="P24" s="3" t="s">
        <v>411</v>
      </c>
      <c r="Q24" s="2">
        <f>SUMIF(Summary[Mob Name],Ascension_Mob_Materials[[#This Row],[Mob Name]],Summary[1* Mats])</f>
        <v>6</v>
      </c>
      <c r="R24" s="2">
        <v>7</v>
      </c>
      <c r="S24" s="2">
        <f>Ascension_Mob_Materials[[#This Row],[Mats
Needed]]-Ascension_Mob_Materials[[#This Row],[Mats
Acquired]]</f>
        <v>-1</v>
      </c>
    </row>
    <row r="25" spans="1:19" x14ac:dyDescent="0.25">
      <c r="A25" s="8">
        <f>SUBTOTAL(3,$B$3:B25)</f>
        <v>23</v>
      </c>
      <c r="B25" s="3" t="s">
        <v>271</v>
      </c>
      <c r="C25" s="2">
        <f>SUMIF(Summary[Flower Name],Ascension_Flower[[#This Row],[Flower Name]],Summary[Quantity])</f>
        <v>0</v>
      </c>
      <c r="D25" s="2">
        <v>69</v>
      </c>
      <c r="E25" s="2">
        <f>Ascension_Flower[[#This Row],[Flowers Needed]]-Ascension_Flower[[#This Row],[Flowers Acquired]]</f>
        <v>-69</v>
      </c>
      <c r="G25" s="8">
        <f>SUBTOTAL(3,$H$3:H25)</f>
        <v>23</v>
      </c>
      <c r="H25" s="8" t="s">
        <v>80</v>
      </c>
      <c r="I25" s="3" t="s">
        <v>44</v>
      </c>
      <c r="J25" s="2">
        <f>SUMIF(Summary[Stone Name],Ascension_Stones[[#This Row],[Stone Name]],Summary[Chunk])</f>
        <v>36</v>
      </c>
      <c r="K25" s="2">
        <v>38</v>
      </c>
      <c r="L25" s="2">
        <f>Ascension_Stones[[#This Row],[Stones
Needed]]-Ascension_Stones[[#This Row],[Stones Acquired]]</f>
        <v>-2</v>
      </c>
      <c r="N25" s="8">
        <f>SUBTOTAL(3,$P$3:P25)</f>
        <v>23</v>
      </c>
      <c r="O25" s="8" t="s">
        <v>125</v>
      </c>
      <c r="P25" s="3" t="s">
        <v>412</v>
      </c>
      <c r="Q25" s="2">
        <f>SUMIF(Summary[Mob Name],Ascension_Mob_Materials[[#This Row],[Mob Name]],Summary[2* Mats])</f>
        <v>22</v>
      </c>
      <c r="R25" s="2">
        <v>22</v>
      </c>
      <c r="S25" s="2">
        <f>Ascension_Mob_Materials[[#This Row],[Mats
Needed]]-Ascension_Mob_Materials[[#This Row],[Mats
Acquired]]</f>
        <v>0</v>
      </c>
    </row>
    <row r="26" spans="1:19" x14ac:dyDescent="0.25">
      <c r="A26" s="8">
        <f>SUBTOTAL(3,$B$3:B26)</f>
        <v>24</v>
      </c>
      <c r="B26" s="3" t="s">
        <v>255</v>
      </c>
      <c r="C26" s="2">
        <f>SUMIF(Summary[Flower Name],Ascension_Flower[[#This Row],[Flower Name]],Summary[Quantity])</f>
        <v>0</v>
      </c>
      <c r="D26" s="2">
        <v>7</v>
      </c>
      <c r="E26" s="2">
        <f>Ascension_Flower[[#This Row],[Flowers Needed]]-Ascension_Flower[[#This Row],[Flowers Acquired]]</f>
        <v>-7</v>
      </c>
      <c r="G26" s="8">
        <f>SUBTOTAL(3,$H$3:H26)</f>
        <v>24</v>
      </c>
      <c r="H26" s="8" t="s">
        <v>80</v>
      </c>
      <c r="I26" s="3" t="s">
        <v>43</v>
      </c>
      <c r="J26" s="2">
        <f>SUMIF(Summary[Stone Name],Ascension_Stones[[#This Row],[Stone Name]],Summary[Gemstone])</f>
        <v>30</v>
      </c>
      <c r="K26" s="2">
        <v>4</v>
      </c>
      <c r="L26" s="2">
        <f>Ascension_Stones[[#This Row],[Stones
Needed]]-Ascension_Stones[[#This Row],[Stones Acquired]]</f>
        <v>26</v>
      </c>
      <c r="N26" s="8">
        <f>SUBTOTAL(3,$P$3:P26)</f>
        <v>24</v>
      </c>
      <c r="O26" s="8" t="s">
        <v>125</v>
      </c>
      <c r="P26" s="3" t="s">
        <v>413</v>
      </c>
      <c r="Q26" s="2">
        <f>SUMIF(Summary[Mob Name],Ascension_Mob_Materials[[#This Row],[Mob Name]],Summary[3* Mats])</f>
        <v>19</v>
      </c>
      <c r="R26" s="2">
        <v>13</v>
      </c>
      <c r="S26" s="2">
        <f>Ascension_Mob_Materials[[#This Row],[Mats
Needed]]-Ascension_Mob_Materials[[#This Row],[Mats
Acquired]]</f>
        <v>6</v>
      </c>
    </row>
    <row r="27" spans="1:19" x14ac:dyDescent="0.25">
      <c r="A27" s="8">
        <f>SUBTOTAL(3,$B$3:B27)</f>
        <v>25</v>
      </c>
      <c r="B27" s="3" t="s">
        <v>138</v>
      </c>
      <c r="C27" s="2">
        <f>SUMIF(Summary[Flower Name],Ascension_Flower[[#This Row],[Flower Name]],Summary[Quantity])</f>
        <v>0</v>
      </c>
      <c r="D27" s="2">
        <v>85</v>
      </c>
      <c r="E27" s="2">
        <f>Ascension_Flower[[#This Row],[Flowers Needed]]-Ascension_Flower[[#This Row],[Flowers Acquired]]</f>
        <v>-85</v>
      </c>
      <c r="G27" s="8">
        <f>SUBTOTAL(3,$H$3:H27)</f>
        <v>25</v>
      </c>
      <c r="H27" s="8" t="s">
        <v>144</v>
      </c>
      <c r="I27" s="3" t="s">
        <v>46</v>
      </c>
      <c r="J27" s="2">
        <f>SUMIF(Summary[Stone Name],Ascension_Stones[[#This Row],[Stone Name]],Summary[Silver])</f>
        <v>1</v>
      </c>
      <c r="K27" s="2">
        <v>3</v>
      </c>
      <c r="L27" s="2">
        <f>Ascension_Stones[[#This Row],[Stones
Needed]]-Ascension_Stones[[#This Row],[Stones Acquired]]</f>
        <v>-2</v>
      </c>
      <c r="N27" s="8">
        <f>SUBTOTAL(3,$P$3:P27)</f>
        <v>25</v>
      </c>
      <c r="O27" s="8" t="s">
        <v>145</v>
      </c>
      <c r="P27" s="3" t="s">
        <v>414</v>
      </c>
      <c r="Q27" s="2">
        <f>SUMIF(Summary[Mob Name],Ascension_Mob_Materials[[#This Row],[Mob Name]],Summary[1* Mats])</f>
        <v>114</v>
      </c>
      <c r="R27" s="2">
        <v>33</v>
      </c>
      <c r="S27" s="2">
        <f>Ascension_Mob_Materials[[#This Row],[Mats
Needed]]-Ascension_Mob_Materials[[#This Row],[Mats
Acquired]]</f>
        <v>81</v>
      </c>
    </row>
    <row r="28" spans="1:19" x14ac:dyDescent="0.25">
      <c r="A28" s="8">
        <f>SUBTOTAL(3,$B$3:B28)</f>
        <v>26</v>
      </c>
      <c r="B28" s="3" t="s">
        <v>290</v>
      </c>
      <c r="C28" s="2">
        <f>SUMIF(Summary[Flower Name],Ascension_Flower[[#This Row],[Flower Name]],Summary[Quantity])</f>
        <v>0</v>
      </c>
      <c r="D28" s="2">
        <v>59</v>
      </c>
      <c r="E28" s="2">
        <f>Ascension_Flower[[#This Row],[Flowers Needed]]-Ascension_Flower[[#This Row],[Flowers Acquired]]</f>
        <v>-59</v>
      </c>
      <c r="G28" s="8">
        <f>SUBTOTAL(3,$H$3:H28)</f>
        <v>26</v>
      </c>
      <c r="H28" s="8" t="s">
        <v>144</v>
      </c>
      <c r="I28" s="3" t="s">
        <v>45</v>
      </c>
      <c r="J28" s="2">
        <f>SUMIF(Summary[Stone Name],Ascension_Stones[[#This Row],[Stone Name]],Summary[Fragment])</f>
        <v>51</v>
      </c>
      <c r="K28" s="2">
        <v>53</v>
      </c>
      <c r="L28" s="2">
        <f>Ascension_Stones[[#This Row],[Stones
Needed]]-Ascension_Stones[[#This Row],[Stones Acquired]]</f>
        <v>-2</v>
      </c>
      <c r="N28" s="8">
        <f>SUBTOTAL(3,$P$3:P28)</f>
        <v>26</v>
      </c>
      <c r="O28" s="8" t="s">
        <v>145</v>
      </c>
      <c r="P28" s="3" t="s">
        <v>415</v>
      </c>
      <c r="Q28" s="2">
        <f>SUMIF(Summary[Mob Name],Ascension_Mob_Materials[[#This Row],[Mob Name]],Summary[2* Mats])</f>
        <v>332</v>
      </c>
      <c r="R28" s="2">
        <v>3</v>
      </c>
      <c r="S28" s="2">
        <f>Ascension_Mob_Materials[[#This Row],[Mats
Needed]]-Ascension_Mob_Materials[[#This Row],[Mats
Acquired]]</f>
        <v>329</v>
      </c>
    </row>
    <row r="29" spans="1:19" x14ac:dyDescent="0.25">
      <c r="A29" s="8">
        <f>SUBTOTAL(3,$B$3:B29)</f>
        <v>27</v>
      </c>
      <c r="B29" s="3" t="s">
        <v>163</v>
      </c>
      <c r="C29" s="2">
        <f>SUMIF(Summary[Flower Name],Ascension_Flower[[#This Row],[Flower Name]],Summary[Quantity])</f>
        <v>165</v>
      </c>
      <c r="D29" s="2">
        <v>55</v>
      </c>
      <c r="E29" s="2">
        <f>Ascension_Flower[[#This Row],[Flowers Needed]]-Ascension_Flower[[#This Row],[Flowers Acquired]]</f>
        <v>110</v>
      </c>
      <c r="G29" s="8">
        <f>SUBTOTAL(3,$H$3:H29)</f>
        <v>27</v>
      </c>
      <c r="H29" s="8" t="s">
        <v>144</v>
      </c>
      <c r="I29" s="3" t="s">
        <v>44</v>
      </c>
      <c r="J29" s="2">
        <f>SUMIF(Summary[Stone Name],Ascension_Stones[[#This Row],[Stone Name]],Summary[Chunk])</f>
        <v>63</v>
      </c>
      <c r="K29" s="2">
        <v>64</v>
      </c>
      <c r="L29" s="2">
        <f>Ascension_Stones[[#This Row],[Stones
Needed]]-Ascension_Stones[[#This Row],[Stones Acquired]]</f>
        <v>-1</v>
      </c>
      <c r="N29" s="8">
        <f>SUBTOTAL(3,$P$3:P29)</f>
        <v>27</v>
      </c>
      <c r="O29" s="8" t="s">
        <v>145</v>
      </c>
      <c r="P29" s="3" t="s">
        <v>416</v>
      </c>
      <c r="Q29" s="2">
        <f>SUMIF(Summary[Mob Name],Ascension_Mob_Materials[[#This Row],[Mob Name]],Summary[3* Mats])</f>
        <v>336</v>
      </c>
      <c r="R29" s="2"/>
      <c r="S29" s="2">
        <f>Ascension_Mob_Materials[[#This Row],[Mats
Needed]]-Ascension_Mob_Materials[[#This Row],[Mats
Acquired]]</f>
        <v>336</v>
      </c>
    </row>
    <row r="30" spans="1:19" x14ac:dyDescent="0.25">
      <c r="A30" s="8">
        <f>SUBTOTAL(3,$B$3:B30)</f>
        <v>28</v>
      </c>
      <c r="B30" s="3" t="s">
        <v>124</v>
      </c>
      <c r="C30" s="2">
        <f>SUMIF(Summary[Flower Name],Ascension_Flower[[#This Row],[Flower Name]],Summary[Quantity])</f>
        <v>165</v>
      </c>
      <c r="D30" s="2">
        <v>14</v>
      </c>
      <c r="E30" s="2">
        <f>Ascension_Flower[[#This Row],[Flowers Needed]]-Ascension_Flower[[#This Row],[Flowers Acquired]]</f>
        <v>151</v>
      </c>
      <c r="G30" s="8">
        <f>SUBTOTAL(3,$H$3:H30)</f>
        <v>28</v>
      </c>
      <c r="H30" s="8" t="s">
        <v>144</v>
      </c>
      <c r="I30" s="3" t="s">
        <v>43</v>
      </c>
      <c r="J30" s="2">
        <f>SUMIF(Summary[Stone Name],Ascension_Stones[[#This Row],[Stone Name]],Summary[Gemstone])</f>
        <v>48</v>
      </c>
      <c r="K30" s="2">
        <v>11</v>
      </c>
      <c r="L30" s="2">
        <f>Ascension_Stones[[#This Row],[Stones
Needed]]-Ascension_Stones[[#This Row],[Stones Acquired]]</f>
        <v>37</v>
      </c>
      <c r="N30" s="8">
        <f>SUBTOTAL(3,$P$3:P30)</f>
        <v>28</v>
      </c>
      <c r="O30" s="8" t="s">
        <v>197</v>
      </c>
      <c r="P30" s="3" t="s">
        <v>417</v>
      </c>
      <c r="Q30" s="2">
        <f>SUMIF(Summary[Mob Name],Ascension_Mob_Materials[[#This Row],[Mob Name]],Summary[1* Mats])</f>
        <v>72</v>
      </c>
      <c r="R30" s="2">
        <v>1139</v>
      </c>
      <c r="S30" s="2">
        <f>Ascension_Mob_Materials[[#This Row],[Mats
Needed]]-Ascension_Mob_Materials[[#This Row],[Mats
Acquired]]</f>
        <v>-1067</v>
      </c>
    </row>
    <row r="31" spans="1:19" x14ac:dyDescent="0.25">
      <c r="A31" s="8">
        <f>SUBTOTAL(3,$B$3:B31)</f>
        <v>29</v>
      </c>
      <c r="B31" s="3" t="s">
        <v>171</v>
      </c>
      <c r="C31" s="2">
        <f>SUMIF(Summary[Flower Name],Ascension_Flower[[#This Row],[Flower Name]],Summary[Quantity])</f>
        <v>0</v>
      </c>
      <c r="D31" s="2">
        <v>7</v>
      </c>
      <c r="E31" s="2">
        <f>Ascension_Flower[[#This Row],[Flowers Needed]]-Ascension_Flower[[#This Row],[Flowers Acquired]]</f>
        <v>-7</v>
      </c>
      <c r="G31" s="8">
        <f>SUBTOTAL(3,$H$3:H31)</f>
        <v>29</v>
      </c>
      <c r="H31" s="8" t="s">
        <v>239</v>
      </c>
      <c r="I31" s="3" t="s">
        <v>46</v>
      </c>
      <c r="J31" s="2">
        <f>SUMIF(Summary[Stone Name],Ascension_Stones[[#This Row],[Stone Name]],Summary[Silver])</f>
        <v>1</v>
      </c>
      <c r="K31" s="2">
        <v>3</v>
      </c>
      <c r="L31" s="2">
        <f>Ascension_Stones[[#This Row],[Stones
Needed]]-Ascension_Stones[[#This Row],[Stones Acquired]]</f>
        <v>-2</v>
      </c>
      <c r="N31" s="8">
        <f>SUBTOTAL(3,$P$3:P31)</f>
        <v>29</v>
      </c>
      <c r="O31" s="8" t="s">
        <v>197</v>
      </c>
      <c r="P31" s="3" t="s">
        <v>418</v>
      </c>
      <c r="Q31" s="2">
        <f>SUMIF(Summary[Mob Name],Ascension_Mob_Materials[[#This Row],[Mob Name]],Summary[2* Mats])</f>
        <v>214</v>
      </c>
      <c r="R31" s="2">
        <v>230</v>
      </c>
      <c r="S31" s="2">
        <f>Ascension_Mob_Materials[[#This Row],[Mats
Needed]]-Ascension_Mob_Materials[[#This Row],[Mats
Acquired]]</f>
        <v>-16</v>
      </c>
    </row>
    <row r="32" spans="1:19" x14ac:dyDescent="0.25">
      <c r="A32" s="8">
        <f>SUBTOTAL(3,$B$3:B32)</f>
        <v>30</v>
      </c>
      <c r="B32" s="3" t="s">
        <v>193</v>
      </c>
      <c r="C32" s="2">
        <f>SUMIF(Summary[Flower Name],Ascension_Flower[[#This Row],[Flower Name]],Summary[Quantity])</f>
        <v>0</v>
      </c>
      <c r="D32" s="2">
        <v>39</v>
      </c>
      <c r="E32" s="2">
        <f>Ascension_Flower[[#This Row],[Flowers Needed]]-Ascension_Flower[[#This Row],[Flowers Acquired]]</f>
        <v>-39</v>
      </c>
      <c r="G32" s="8">
        <f>SUBTOTAL(3,$H$3:H32)</f>
        <v>30</v>
      </c>
      <c r="H32" s="8" t="s">
        <v>239</v>
      </c>
      <c r="I32" s="3" t="s">
        <v>45</v>
      </c>
      <c r="J32" s="2">
        <f>SUMIF(Summary[Stone Name],Ascension_Stones[[#This Row],[Stone Name]],Summary[Fragment])</f>
        <v>18</v>
      </c>
      <c r="K32" s="2">
        <v>18</v>
      </c>
      <c r="L32" s="2">
        <f>Ascension_Stones[[#This Row],[Stones
Needed]]-Ascension_Stones[[#This Row],[Stones Acquired]]</f>
        <v>0</v>
      </c>
      <c r="N32" s="8">
        <f>SUBTOTAL(3,$P$3:P32)</f>
        <v>30</v>
      </c>
      <c r="O32" s="8" t="s">
        <v>197</v>
      </c>
      <c r="P32" s="3" t="s">
        <v>419</v>
      </c>
      <c r="Q32" s="2">
        <f>SUMIF(Summary[Mob Name],Ascension_Mob_Materials[[#This Row],[Mob Name]],Summary[3* Mats])</f>
        <v>224</v>
      </c>
      <c r="R32" s="2">
        <v>10</v>
      </c>
      <c r="S32" s="2">
        <f>Ascension_Mob_Materials[[#This Row],[Mats
Needed]]-Ascension_Mob_Materials[[#This Row],[Mats
Acquired]]</f>
        <v>214</v>
      </c>
    </row>
    <row r="33" spans="1:19" x14ac:dyDescent="0.25">
      <c r="A33" s="8">
        <f>SUBTOTAL(3,$B$3:B33)</f>
        <v>31</v>
      </c>
      <c r="B33" s="3" t="s">
        <v>243</v>
      </c>
      <c r="C33" s="2">
        <f>SUMIF(Summary[Flower Name],Ascension_Flower[[#This Row],[Flower Name]],Summary[Quantity])</f>
        <v>168</v>
      </c>
      <c r="D33" s="2">
        <v>8</v>
      </c>
      <c r="E33" s="2">
        <f>Ascension_Flower[[#This Row],[Flowers Needed]]-Ascension_Flower[[#This Row],[Flowers Acquired]]</f>
        <v>160</v>
      </c>
      <c r="G33" s="8">
        <f>SUBTOTAL(3,$H$3:H33)</f>
        <v>31</v>
      </c>
      <c r="H33" s="8" t="s">
        <v>239</v>
      </c>
      <c r="I33" s="3" t="s">
        <v>44</v>
      </c>
      <c r="J33" s="2">
        <f>SUMIF(Summary[Stone Name],Ascension_Stones[[#This Row],[Stone Name]],Summary[Chunk])</f>
        <v>18</v>
      </c>
      <c r="K33" s="2">
        <v>64</v>
      </c>
      <c r="L33" s="2">
        <f>Ascension_Stones[[#This Row],[Stones
Needed]]-Ascension_Stones[[#This Row],[Stones Acquired]]</f>
        <v>-46</v>
      </c>
      <c r="N33" s="8">
        <f>SUBTOTAL(3,$P$3:P33)</f>
        <v>31</v>
      </c>
      <c r="O33" s="8" t="s">
        <v>81</v>
      </c>
      <c r="P33" s="3" t="s">
        <v>420</v>
      </c>
      <c r="Q33" s="2">
        <f>SUMIF(Summary[Mob Name],Ascension_Mob_Materials[[#This Row],[Mob Name]],Summary[1* Mats])</f>
        <v>51</v>
      </c>
      <c r="R33" s="2">
        <v>1051</v>
      </c>
      <c r="S33" s="2">
        <f>Ascension_Mob_Materials[[#This Row],[Mats
Needed]]-Ascension_Mob_Materials[[#This Row],[Mats
Acquired]]</f>
        <v>-1000</v>
      </c>
    </row>
    <row r="34" spans="1:19" x14ac:dyDescent="0.25">
      <c r="A34" s="8">
        <f>SUBTOTAL(3,$B$3:B34)</f>
        <v>32</v>
      </c>
      <c r="B34" s="3" t="s">
        <v>219</v>
      </c>
      <c r="C34" s="2">
        <f>SUMIF(Summary[Flower Name],Ascension_Flower[[#This Row],[Flower Name]],Summary[Quantity])</f>
        <v>0</v>
      </c>
      <c r="D34" s="2">
        <v>60</v>
      </c>
      <c r="E34" s="2">
        <f>Ascension_Flower[[#This Row],[Flowers Needed]]-Ascension_Flower[[#This Row],[Flowers Acquired]]</f>
        <v>-60</v>
      </c>
      <c r="G34" s="8">
        <f>SUBTOTAL(3,$H$3:H34)</f>
        <v>32</v>
      </c>
      <c r="H34" s="8" t="s">
        <v>239</v>
      </c>
      <c r="I34" s="3" t="s">
        <v>43</v>
      </c>
      <c r="J34" s="2">
        <f>SUMIF(Summary[Stone Name],Ascension_Stones[[#This Row],[Stone Name]],Summary[Gemstone])</f>
        <v>12</v>
      </c>
      <c r="K34" s="2">
        <v>12</v>
      </c>
      <c r="L34" s="2">
        <f>Ascension_Stones[[#This Row],[Stones
Needed]]-Ascension_Stones[[#This Row],[Stones Acquired]]</f>
        <v>0</v>
      </c>
      <c r="N34" s="8">
        <f>SUBTOTAL(3,$P$3:P34)</f>
        <v>32</v>
      </c>
      <c r="O34" s="8" t="s">
        <v>81</v>
      </c>
      <c r="P34" s="3" t="s">
        <v>421</v>
      </c>
      <c r="Q34" s="2">
        <f>SUMIF(Summary[Mob Name],Ascension_Mob_Materials[[#This Row],[Mob Name]],Summary[2* Mats])</f>
        <v>195</v>
      </c>
      <c r="R34" s="2">
        <v>203</v>
      </c>
      <c r="S34" s="2">
        <f>Ascension_Mob_Materials[[#This Row],[Mats
Needed]]-Ascension_Mob_Materials[[#This Row],[Mats
Acquired]]</f>
        <v>-8</v>
      </c>
    </row>
    <row r="35" spans="1:19" x14ac:dyDescent="0.25">
      <c r="A35" s="8">
        <f>SUBTOTAL(3,$B$3:B35)</f>
        <v>33</v>
      </c>
      <c r="B35" s="3" t="s">
        <v>92</v>
      </c>
      <c r="C35" s="2">
        <f>SUMIF(Summary[Flower Name],Ascension_Flower[[#This Row],[Flower Name]],Summary[Quantity])</f>
        <v>0</v>
      </c>
      <c r="D35" s="2">
        <v>423</v>
      </c>
      <c r="E35" s="2">
        <f>Ascension_Flower[[#This Row],[Flowers Needed]]-Ascension_Flower[[#This Row],[Flowers Acquired]]</f>
        <v>-423</v>
      </c>
      <c r="G35" s="8" t="s">
        <v>298</v>
      </c>
      <c r="H35" s="8"/>
      <c r="I35" s="3"/>
      <c r="J35" s="2">
        <f>SUBTOTAL(109,Ascension_Stones[Stones
Needed])</f>
        <v>627</v>
      </c>
      <c r="K35" s="2">
        <f>SUBTOTAL(109,Ascension_Stones[Stones Acquired])</f>
        <v>651</v>
      </c>
      <c r="L35" s="2">
        <f>SUMIF(L3:L34,"&gt;=0")</f>
        <v>121</v>
      </c>
      <c r="N35" s="8">
        <f>SUBTOTAL(3,$P$3:P35)</f>
        <v>33</v>
      </c>
      <c r="O35" s="8" t="s">
        <v>81</v>
      </c>
      <c r="P35" s="3" t="s">
        <v>422</v>
      </c>
      <c r="Q35" s="2">
        <f>SUMIF(Summary[Mob Name],Ascension_Mob_Materials[[#This Row],[Mob Name]],Summary[3* Mats])</f>
        <v>205</v>
      </c>
      <c r="R35" s="2">
        <v>207</v>
      </c>
      <c r="S35" s="2">
        <f>Ascension_Mob_Materials[[#This Row],[Mats
Needed]]-Ascension_Mob_Materials[[#This Row],[Mats
Acquired]]</f>
        <v>-2</v>
      </c>
    </row>
    <row r="36" spans="1:19" x14ac:dyDescent="0.25">
      <c r="A36" s="8">
        <f>SUBTOTAL(3,$B$3:B36)</f>
        <v>34</v>
      </c>
      <c r="B36" s="3" t="s">
        <v>275</v>
      </c>
      <c r="C36" s="2">
        <f>SUMIF(Summary[Flower Name],Ascension_Flower[[#This Row],[Flower Name]],Summary[Quantity])</f>
        <v>0</v>
      </c>
      <c r="D36" s="2">
        <v>506</v>
      </c>
      <c r="E36" s="2">
        <f>Ascension_Flower[[#This Row],[Flowers Needed]]-Ascension_Flower[[#This Row],[Flowers Acquired]]</f>
        <v>-506</v>
      </c>
      <c r="N36" s="8">
        <f>SUBTOTAL(3,$P$3:P36)</f>
        <v>34</v>
      </c>
      <c r="O36" s="8" t="s">
        <v>164</v>
      </c>
      <c r="P36" s="3" t="s">
        <v>423</v>
      </c>
      <c r="Q36" s="2">
        <f>SUMIF(Summary[Mob Name],Ascension_Mob_Materials[[#This Row],[Mob Name]],Summary[1* Mats])</f>
        <v>33</v>
      </c>
      <c r="R36" s="2">
        <v>151</v>
      </c>
      <c r="S36" s="2">
        <f>Ascension_Mob_Materials[[#This Row],[Mats
Needed]]-Ascension_Mob_Materials[[#This Row],[Mats
Acquired]]</f>
        <v>-118</v>
      </c>
    </row>
    <row r="37" spans="1:19" x14ac:dyDescent="0.25">
      <c r="A37" s="8">
        <f>SUBTOTAL(3,$B$3:B37)</f>
        <v>35</v>
      </c>
      <c r="B37" s="3" t="s">
        <v>221</v>
      </c>
      <c r="C37" s="2">
        <f>SUMIF(Summary[Flower Name],Ascension_Flower[[#This Row],[Flower Name]],Summary[Quantity])</f>
        <v>300</v>
      </c>
      <c r="D37" s="2">
        <v>34</v>
      </c>
      <c r="E37" s="2">
        <f>Ascension_Flower[[#This Row],[Flowers Needed]]-Ascension_Flower[[#This Row],[Flowers Acquired]]</f>
        <v>266</v>
      </c>
      <c r="N37" s="8">
        <f>SUBTOTAL(3,$P$3:P37)</f>
        <v>35</v>
      </c>
      <c r="O37" s="8" t="s">
        <v>164</v>
      </c>
      <c r="P37" s="3" t="s">
        <v>424</v>
      </c>
      <c r="Q37" s="2">
        <f>SUMIF(Summary[Mob Name],Ascension_Mob_Materials[[#This Row],[Mob Name]],Summary[2* Mats])</f>
        <v>96</v>
      </c>
      <c r="R37" s="2">
        <v>18</v>
      </c>
      <c r="S37" s="2">
        <f>Ascension_Mob_Materials[[#This Row],[Mats
Needed]]-Ascension_Mob_Materials[[#This Row],[Mats
Acquired]]</f>
        <v>78</v>
      </c>
    </row>
    <row r="38" spans="1:19" x14ac:dyDescent="0.25">
      <c r="A38" s="8">
        <f>SUBTOTAL(3,$B$3:B38)</f>
        <v>36</v>
      </c>
      <c r="B38" s="3" t="s">
        <v>246</v>
      </c>
      <c r="C38" s="2">
        <f>SUMIF(Summary[Flower Name],Ascension_Flower[[#This Row],[Flower Name]],Summary[Quantity])</f>
        <v>0</v>
      </c>
      <c r="D38" s="2">
        <v>59</v>
      </c>
      <c r="E38" s="2">
        <f>Ascension_Flower[[#This Row],[Flowers Needed]]-Ascension_Flower[[#This Row],[Flowers Acquired]]</f>
        <v>-59</v>
      </c>
      <c r="N38" s="8">
        <f>SUBTOTAL(3,$P$3:P38)</f>
        <v>36</v>
      </c>
      <c r="O38" s="8" t="s">
        <v>164</v>
      </c>
      <c r="P38" s="3" t="s">
        <v>425</v>
      </c>
      <c r="Q38" s="2">
        <f>SUMIF(Summary[Mob Name],Ascension_Mob_Materials[[#This Row],[Mob Name]],Summary[3* Mats])</f>
        <v>93</v>
      </c>
      <c r="R38" s="2">
        <v>21</v>
      </c>
      <c r="S38" s="2">
        <f>Ascension_Mob_Materials[[#This Row],[Mats
Needed]]-Ascension_Mob_Materials[[#This Row],[Mats
Acquired]]</f>
        <v>72</v>
      </c>
    </row>
    <row r="39" spans="1:19" x14ac:dyDescent="0.25">
      <c r="A39" s="8">
        <f>SUBTOTAL(3,$B$3:B39)</f>
        <v>37</v>
      </c>
      <c r="B39" s="3" t="s">
        <v>273</v>
      </c>
      <c r="C39" s="2">
        <f>SUMIF(Summary[Flower Name],Ascension_Flower[[#This Row],[Flower Name]],Summary[Quantity])</f>
        <v>0</v>
      </c>
      <c r="D39" s="2">
        <v>27</v>
      </c>
      <c r="E39" s="2">
        <f>Ascension_Flower[[#This Row],[Flowers Needed]]-Ascension_Flower[[#This Row],[Flowers Acquired]]</f>
        <v>-27</v>
      </c>
      <c r="N39" s="8">
        <f>SUBTOTAL(3,$P$3:P39)</f>
        <v>37</v>
      </c>
      <c r="O39" s="8" t="s">
        <v>100</v>
      </c>
      <c r="P39" s="3" t="s">
        <v>426</v>
      </c>
      <c r="Q39" s="2">
        <f>SUMIF(Summary[Mob Name],Ascension_Mob_Materials[[#This Row],[Mob Name]],Summary[1* Mats])</f>
        <v>39</v>
      </c>
      <c r="R39" s="2">
        <v>40</v>
      </c>
      <c r="S39" s="2">
        <f>Ascension_Mob_Materials[[#This Row],[Mats
Needed]]-Ascension_Mob_Materials[[#This Row],[Mats
Acquired]]</f>
        <v>-1</v>
      </c>
    </row>
    <row r="40" spans="1:19" x14ac:dyDescent="0.25">
      <c r="A40" s="8">
        <f>SUBTOTAL(3,$B$3:B40)</f>
        <v>38</v>
      </c>
      <c r="B40" s="3" t="s">
        <v>189</v>
      </c>
      <c r="C40" s="2">
        <f>SUMIF(Summary[Flower Name],Ascension_Flower[[#This Row],[Flower Name]],Summary[Quantity])</f>
        <v>0</v>
      </c>
      <c r="D40" s="2">
        <v>53</v>
      </c>
      <c r="E40" s="2">
        <f>Ascension_Flower[[#This Row],[Flowers Needed]]-Ascension_Flower[[#This Row],[Flowers Acquired]]</f>
        <v>-53</v>
      </c>
      <c r="N40" s="8">
        <f>SUBTOTAL(3,$P$3:P40)</f>
        <v>38</v>
      </c>
      <c r="O40" s="8" t="s">
        <v>100</v>
      </c>
      <c r="P40" s="3" t="s">
        <v>427</v>
      </c>
      <c r="Q40" s="2">
        <f>SUMIF(Summary[Mob Name],Ascension_Mob_Materials[[#This Row],[Mob Name]],Summary[2* Mats])</f>
        <v>118</v>
      </c>
      <c r="R40" s="2">
        <v>118</v>
      </c>
      <c r="S40" s="2">
        <f>Ascension_Mob_Materials[[#This Row],[Mats
Needed]]-Ascension_Mob_Materials[[#This Row],[Mats
Acquired]]</f>
        <v>0</v>
      </c>
    </row>
    <row r="41" spans="1:19" x14ac:dyDescent="0.25">
      <c r="A41" s="8">
        <f>SUBTOTAL(3,$B$3:B41)</f>
        <v>39</v>
      </c>
      <c r="B41" s="3" t="s">
        <v>428</v>
      </c>
      <c r="C41" s="2">
        <f>SUMIF(Summary[Flower Name],Ascension_Flower[[#This Row],[Flower Name]],Summary[Quantity])</f>
        <v>0</v>
      </c>
      <c r="D41" s="2">
        <v>2</v>
      </c>
      <c r="E41" s="2">
        <f>Ascension_Flower[[#This Row],[Flowers Needed]]-Ascension_Flower[[#This Row],[Flowers Acquired]]</f>
        <v>-2</v>
      </c>
      <c r="N41" s="8">
        <f>SUBTOTAL(3,$P$3:P41)</f>
        <v>39</v>
      </c>
      <c r="O41" s="8" t="s">
        <v>100</v>
      </c>
      <c r="P41" s="3" t="s">
        <v>429</v>
      </c>
      <c r="Q41" s="2">
        <f>SUMIF(Summary[Mob Name],Ascension_Mob_Materials[[#This Row],[Mob Name]],Summary[3* Mats])</f>
        <v>150</v>
      </c>
      <c r="R41" s="2">
        <v>124</v>
      </c>
      <c r="S41" s="2">
        <f>Ascension_Mob_Materials[[#This Row],[Mats
Needed]]-Ascension_Mob_Materials[[#This Row],[Mats
Acquired]]</f>
        <v>26</v>
      </c>
    </row>
    <row r="42" spans="1:19" x14ac:dyDescent="0.25">
      <c r="A42" s="8">
        <f>SUBTOTAL(3,$B$3:B42)</f>
        <v>40</v>
      </c>
      <c r="B42" s="3" t="s">
        <v>183</v>
      </c>
      <c r="C42" s="2">
        <f>SUMIF(Summary[Flower Name],Ascension_Flower[[#This Row],[Flower Name]],Summary[Quantity])</f>
        <v>273</v>
      </c>
      <c r="D42" s="2">
        <v>507</v>
      </c>
      <c r="E42" s="2">
        <f>Ascension_Flower[[#This Row],[Flowers Needed]]-Ascension_Flower[[#This Row],[Flowers Acquired]]</f>
        <v>-234</v>
      </c>
      <c r="N42" s="8" t="s">
        <v>298</v>
      </c>
      <c r="O42" s="8"/>
      <c r="P42" s="3"/>
      <c r="Q42" s="2">
        <f>SUBTOTAL(109,Ascension_Mob_Materials[Mats
Needed])</f>
        <v>7899</v>
      </c>
      <c r="R42" s="2">
        <f>SUBTOTAL(109,Ascension_Mob_Materials[Mats
Acquired])</f>
        <v>15829</v>
      </c>
      <c r="S42" s="2">
        <f>SUMIF(S3:S41,"&gt;=0")</f>
        <v>3892</v>
      </c>
    </row>
    <row r="43" spans="1:19" x14ac:dyDescent="0.25">
      <c r="A43" s="8">
        <f>SUBTOTAL(3,$B$3:B43)</f>
        <v>41</v>
      </c>
      <c r="B43" s="3" t="s">
        <v>181</v>
      </c>
      <c r="C43" s="2">
        <f>SUMIF(Summary[Flower Name],Ascension_Flower[[#This Row],[Flower Name]],Summary[Quantity])</f>
        <v>215</v>
      </c>
      <c r="D43" s="2">
        <v>26</v>
      </c>
      <c r="E43" s="2">
        <f>Ascension_Flower[[#This Row],[Flowers Needed]]-Ascension_Flower[[#This Row],[Flowers Acquired]]</f>
        <v>189</v>
      </c>
      <c r="Q43" s="2"/>
      <c r="R43" s="2"/>
      <c r="S43" s="2"/>
    </row>
    <row r="44" spans="1:19" x14ac:dyDescent="0.25">
      <c r="A44" s="8">
        <f>SUBTOTAL(3,$B$3:B44)</f>
        <v>42</v>
      </c>
      <c r="B44" s="3" t="s">
        <v>72</v>
      </c>
      <c r="C44" s="2">
        <f>SUMIF(Summary[Flower Name],Ascension_Flower[[#This Row],[Flower Name]],Summary[Quantity])</f>
        <v>0</v>
      </c>
      <c r="D44" s="2">
        <v>90</v>
      </c>
      <c r="E44" s="2">
        <f>Ascension_Flower[[#This Row],[Flowers Needed]]-Ascension_Flower[[#This Row],[Flowers Acquired]]</f>
        <v>-90</v>
      </c>
      <c r="Q44" s="2"/>
      <c r="R44" s="2"/>
      <c r="S44" s="2"/>
    </row>
    <row r="45" spans="1:19" x14ac:dyDescent="0.25">
      <c r="A45" s="8">
        <f>SUBTOTAL(3,$B$3:B45)</f>
        <v>43</v>
      </c>
      <c r="B45" s="3" t="s">
        <v>178</v>
      </c>
      <c r="C45" s="2">
        <f>SUMIF(Summary[Flower Name],Ascension_Flower[[#This Row],[Flower Name]],Summary[Quantity])</f>
        <v>195</v>
      </c>
      <c r="D45" s="2">
        <v>56</v>
      </c>
      <c r="E45" s="2">
        <f>Ascension_Flower[[#This Row],[Flowers Needed]]-Ascension_Flower[[#This Row],[Flowers Acquired]]</f>
        <v>139</v>
      </c>
      <c r="Q45" s="2"/>
      <c r="R45" s="2"/>
      <c r="S45" s="2"/>
    </row>
    <row r="46" spans="1:19" x14ac:dyDescent="0.25">
      <c r="A46" s="8" t="s">
        <v>298</v>
      </c>
      <c r="C46" s="2">
        <f>SUBTOTAL(109,Ascension_Flower[Flowers Needed])</f>
        <v>4549</v>
      </c>
      <c r="D46" s="2">
        <f>SUBTOTAL(109,Ascension_Flower[Flowers Acquired])</f>
        <v>3566</v>
      </c>
      <c r="E46" s="2">
        <f>SUMIF(E3:E45,"&gt;=0")</f>
        <v>2866</v>
      </c>
      <c r="Q46" s="2"/>
      <c r="R46" s="2"/>
      <c r="S46" s="2"/>
    </row>
    <row r="47" spans="1:19" x14ac:dyDescent="0.25">
      <c r="Q47" s="2"/>
      <c r="R47" s="2"/>
      <c r="S47" s="2"/>
    </row>
    <row r="48" spans="1:19" x14ac:dyDescent="0.25">
      <c r="Q48" s="2"/>
      <c r="R48" s="2"/>
      <c r="S48" s="2"/>
    </row>
    <row r="49" spans="17:19" x14ac:dyDescent="0.25">
      <c r="Q49" s="2"/>
      <c r="R49" s="2"/>
      <c r="S49" s="2"/>
    </row>
    <row r="50" spans="17:19" x14ac:dyDescent="0.25">
      <c r="Q50" s="2"/>
      <c r="R50" s="2"/>
      <c r="S50" s="2"/>
    </row>
    <row r="51" spans="17:19" x14ac:dyDescent="0.25">
      <c r="Q51" s="2"/>
      <c r="R51" s="2"/>
      <c r="S51" s="2"/>
    </row>
    <row r="52" spans="17:19" x14ac:dyDescent="0.25">
      <c r="Q52" s="2"/>
      <c r="R52" s="2"/>
      <c r="S52" s="2"/>
    </row>
    <row r="53" spans="17:19" x14ac:dyDescent="0.25">
      <c r="Q53" s="2"/>
      <c r="R53" s="2"/>
      <c r="S53" s="2"/>
    </row>
    <row r="54" spans="17:19" x14ac:dyDescent="0.25">
      <c r="Q54" s="2"/>
      <c r="R54" s="2"/>
      <c r="S54" s="2"/>
    </row>
    <row r="55" spans="17:19" x14ac:dyDescent="0.25">
      <c r="Q55" s="2"/>
      <c r="R55" s="2"/>
      <c r="S55" s="2"/>
    </row>
    <row r="56" spans="17:19" x14ac:dyDescent="0.25">
      <c r="Q56" s="2"/>
      <c r="R56" s="2"/>
      <c r="S56" s="2"/>
    </row>
    <row r="57" spans="17:19" x14ac:dyDescent="0.25">
      <c r="Q57" s="2"/>
      <c r="R57" s="2"/>
      <c r="S57" s="2"/>
    </row>
    <row r="58" spans="17:19" x14ac:dyDescent="0.25">
      <c r="Q58" s="2"/>
      <c r="R58" s="2"/>
      <c r="S58" s="2"/>
    </row>
    <row r="59" spans="17:19" x14ac:dyDescent="0.25">
      <c r="Q59" s="2"/>
      <c r="R59" s="2"/>
      <c r="S59" s="2"/>
    </row>
    <row r="60" spans="17:19" x14ac:dyDescent="0.25">
      <c r="Q60" s="2"/>
      <c r="R60" s="2"/>
      <c r="S60" s="2"/>
    </row>
    <row r="61" spans="17:19" x14ac:dyDescent="0.25">
      <c r="Q61" s="2"/>
      <c r="R61" s="2"/>
      <c r="S61" s="2"/>
    </row>
    <row r="62" spans="17:19" x14ac:dyDescent="0.25">
      <c r="Q62" s="2"/>
      <c r="R62" s="2"/>
      <c r="S62" s="2"/>
    </row>
    <row r="63" spans="17:19" x14ac:dyDescent="0.25">
      <c r="Q63" s="2"/>
      <c r="R63" s="2"/>
      <c r="S63" s="2"/>
    </row>
    <row r="64" spans="17:19" x14ac:dyDescent="0.25">
      <c r="Q64" s="2"/>
      <c r="R64" s="2"/>
      <c r="S64" s="2"/>
    </row>
    <row r="65" spans="17:19" x14ac:dyDescent="0.25">
      <c r="Q65" s="2"/>
      <c r="R65" s="2"/>
      <c r="S65" s="2"/>
    </row>
    <row r="66" spans="17:19" x14ac:dyDescent="0.25">
      <c r="Q66" s="2"/>
      <c r="R66" s="2"/>
      <c r="S66" s="2"/>
    </row>
    <row r="67" spans="17:19" x14ac:dyDescent="0.25">
      <c r="Q67" s="2"/>
      <c r="R67" s="2"/>
      <c r="S67" s="2"/>
    </row>
    <row r="68" spans="17:19" x14ac:dyDescent="0.25">
      <c r="Q68" s="2"/>
      <c r="R68" s="2"/>
      <c r="S68" s="2"/>
    </row>
    <row r="69" spans="17:19" x14ac:dyDescent="0.25">
      <c r="Q69" s="2"/>
      <c r="R69" s="2"/>
      <c r="S69" s="2"/>
    </row>
    <row r="70" spans="17:19" x14ac:dyDescent="0.25">
      <c r="Q70" s="2"/>
      <c r="R70" s="2"/>
      <c r="S70" s="2"/>
    </row>
    <row r="71" spans="17:19" x14ac:dyDescent="0.25">
      <c r="Q71" s="2"/>
      <c r="R71" s="2"/>
      <c r="S71" s="2"/>
    </row>
    <row r="72" spans="17:19" x14ac:dyDescent="0.25">
      <c r="Q72" s="2"/>
      <c r="R72" s="2"/>
      <c r="S72" s="2"/>
    </row>
    <row r="73" spans="17:19" x14ac:dyDescent="0.25">
      <c r="Q73" s="2"/>
      <c r="R73" s="2"/>
      <c r="S73" s="2"/>
    </row>
    <row r="74" spans="17:19" x14ac:dyDescent="0.25">
      <c r="Q74" s="2"/>
      <c r="R74" s="2"/>
      <c r="S74" s="2"/>
    </row>
    <row r="75" spans="17:19" x14ac:dyDescent="0.25">
      <c r="Q75" s="2"/>
      <c r="R75" s="2"/>
      <c r="S75" s="2"/>
    </row>
    <row r="76" spans="17:19" x14ac:dyDescent="0.25">
      <c r="Q76" s="2"/>
      <c r="R76" s="2"/>
      <c r="S76" s="2"/>
    </row>
    <row r="77" spans="17:19" x14ac:dyDescent="0.25">
      <c r="Q77" s="2"/>
      <c r="R77" s="2"/>
      <c r="S77" s="2"/>
    </row>
    <row r="78" spans="17:19" x14ac:dyDescent="0.25">
      <c r="Q78" s="2"/>
      <c r="R78" s="2"/>
      <c r="S78" s="2"/>
    </row>
    <row r="79" spans="17:19" x14ac:dyDescent="0.25">
      <c r="Q79" s="2"/>
      <c r="R79" s="2"/>
      <c r="S79" s="2"/>
    </row>
    <row r="80" spans="17:19" x14ac:dyDescent="0.25">
      <c r="Q80" s="2"/>
      <c r="R80" s="2"/>
      <c r="S80" s="2"/>
    </row>
    <row r="81" spans="17:19" x14ac:dyDescent="0.25">
      <c r="Q81" s="2"/>
      <c r="R81" s="2"/>
      <c r="S81" s="2"/>
    </row>
    <row r="82" spans="17:19" x14ac:dyDescent="0.25">
      <c r="Q82" s="2"/>
      <c r="R82" s="2"/>
      <c r="S82" s="2"/>
    </row>
    <row r="83" spans="17:19" x14ac:dyDescent="0.25">
      <c r="Q83" s="2"/>
      <c r="R83" s="2"/>
      <c r="S83" s="2"/>
    </row>
    <row r="84" spans="17:19" x14ac:dyDescent="0.25">
      <c r="Q84" s="2"/>
      <c r="R84" s="2"/>
      <c r="S84" s="2"/>
    </row>
    <row r="85" spans="17:19" x14ac:dyDescent="0.25">
      <c r="Q85" s="2"/>
      <c r="R85" s="2"/>
      <c r="S85" s="2"/>
    </row>
    <row r="86" spans="17:19" x14ac:dyDescent="0.25">
      <c r="Q86" s="2"/>
      <c r="R86" s="2"/>
      <c r="S86" s="2"/>
    </row>
    <row r="87" spans="17:19" x14ac:dyDescent="0.25">
      <c r="Q87" s="2"/>
      <c r="R87" s="2"/>
      <c r="S87" s="2"/>
    </row>
    <row r="88" spans="17:19" x14ac:dyDescent="0.25">
      <c r="Q88" s="2"/>
      <c r="R88" s="2"/>
      <c r="S88" s="2"/>
    </row>
    <row r="89" spans="17:19" x14ac:dyDescent="0.25">
      <c r="Q89" s="2"/>
      <c r="R89" s="2"/>
      <c r="S89" s="2"/>
    </row>
    <row r="90" spans="17:19" x14ac:dyDescent="0.25">
      <c r="Q90" s="2"/>
      <c r="R90" s="2"/>
      <c r="S90" s="2"/>
    </row>
    <row r="91" spans="17:19" x14ac:dyDescent="0.25">
      <c r="Q91" s="2"/>
      <c r="R91" s="2"/>
      <c r="S91" s="2"/>
    </row>
    <row r="92" spans="17:19" x14ac:dyDescent="0.25">
      <c r="Q92" s="2"/>
      <c r="R92" s="2"/>
      <c r="S92" s="2"/>
    </row>
    <row r="93" spans="17:19" x14ac:dyDescent="0.25">
      <c r="Q93" s="2"/>
      <c r="R93" s="2"/>
      <c r="S93" s="2"/>
    </row>
    <row r="94" spans="17:19" x14ac:dyDescent="0.25">
      <c r="Q94" s="2"/>
      <c r="R94" s="2"/>
      <c r="S94" s="2"/>
    </row>
    <row r="95" spans="17:19" x14ac:dyDescent="0.25">
      <c r="Q95" s="2"/>
      <c r="R95" s="2"/>
      <c r="S95" s="2"/>
    </row>
    <row r="96" spans="17:19" x14ac:dyDescent="0.25">
      <c r="Q96" s="2"/>
      <c r="R96" s="2"/>
      <c r="S96" s="2"/>
    </row>
    <row r="97" spans="17:19" x14ac:dyDescent="0.25">
      <c r="Q97" s="2"/>
      <c r="R97" s="2"/>
      <c r="S97" s="2"/>
    </row>
    <row r="98" spans="17:19" x14ac:dyDescent="0.25">
      <c r="Q98" s="2"/>
      <c r="R98" s="2"/>
      <c r="S98" s="2"/>
    </row>
    <row r="99" spans="17:19" x14ac:dyDescent="0.25">
      <c r="Q99" s="2"/>
      <c r="R99" s="2"/>
      <c r="S99" s="2"/>
    </row>
    <row r="100" spans="17:19" x14ac:dyDescent="0.25">
      <c r="Q100" s="2"/>
      <c r="R100" s="2"/>
      <c r="S100" s="2"/>
    </row>
    <row r="101" spans="17:19" x14ac:dyDescent="0.25">
      <c r="Q101" s="2"/>
      <c r="R101" s="2"/>
      <c r="S101" s="2"/>
    </row>
    <row r="102" spans="17:19" x14ac:dyDescent="0.25">
      <c r="Q102" s="2"/>
      <c r="R102" s="2"/>
      <c r="S102" s="2"/>
    </row>
    <row r="103" spans="17:19" x14ac:dyDescent="0.25">
      <c r="Q103" s="2"/>
      <c r="R103" s="2"/>
      <c r="S103" s="2"/>
    </row>
    <row r="104" spans="17:19" x14ac:dyDescent="0.25">
      <c r="Q104" s="2"/>
      <c r="R104" s="2"/>
      <c r="S104" s="2"/>
    </row>
  </sheetData>
  <mergeCells count="3">
    <mergeCell ref="N1:S1"/>
    <mergeCell ref="A1:E1"/>
    <mergeCell ref="G1:L1"/>
  </mergeCells>
  <phoneticPr fontId="6" type="noConversion"/>
  <pageMargins left="0.7" right="0.7" top="0.75" bottom="0.75" header="0.3" footer="0.3"/>
  <ignoredErrors>
    <ignoredError sqref="J32:J34 J4:J6 J8:J10 J12:J14 J16:J18 J20:J22 J24:J26 J28:J30" calculatedColumn="1"/>
  </ignoredErrors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World Boss Mats</vt:lpstr>
      <vt:lpstr>Talent Books</vt:lpstr>
      <vt:lpstr>Weekly Boss Mats</vt:lpstr>
      <vt:lpstr>Ascension Materials</vt:lpstr>
      <vt:lpstr>'Ascension Materials'!Extract</vt:lpstr>
      <vt:lpstr>Summary!Extract</vt:lpstr>
      <vt:lpstr>'Weekly Boss Mats'!Extract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Cryp7iC</dc:creator>
  <cp:keywords/>
  <dc:description/>
  <cp:lastModifiedBy>Emon Hasan Nayeem</cp:lastModifiedBy>
  <cp:revision/>
  <dcterms:created xsi:type="dcterms:W3CDTF">2023-12-16T11:28:58Z</dcterms:created>
  <dcterms:modified xsi:type="dcterms:W3CDTF">2024-02-13T19:07:22Z</dcterms:modified>
  <cp:category/>
  <cp:contentStatus/>
</cp:coreProperties>
</file>