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comments2.xml" ContentType="application/vnd.openxmlformats-officedocument.spreadsheetml.comments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comments3.xml" ContentType="application/vnd.openxmlformats-officedocument.spreadsheetml.comments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1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2a8569665ea6b19/"/>
    </mc:Choice>
  </mc:AlternateContent>
  <xr:revisionPtr revIDLastSave="392" documentId="13_ncr:1_{4AA165F9-F3FC-433E-8FA4-0977666CB4DD}" xr6:coauthVersionLast="47" xr6:coauthVersionMax="47" xr10:uidLastSave="{50806D72-02B3-49DB-8498-E3878F0B4052}"/>
  <bookViews>
    <workbookView xWindow="1830" yWindow="-120" windowWidth="27090" windowHeight="16440" tabRatio="800" activeTab="10" xr2:uid="{9790FBBC-22D5-4E1B-8F64-953C5E402421}"/>
    <workbookView xWindow="28680" yWindow="-120" windowWidth="19800" windowHeight="11760" activeTab="2" xr2:uid="{A63081D0-D4FD-4ED9-B419-13746802ECF8}"/>
  </bookViews>
  <sheets>
    <sheet name="Add New" sheetId="8" r:id="rId1"/>
    <sheet name="LevelDatabase" sheetId="10" r:id="rId2"/>
    <sheet name="ImgDatabase" sheetId="13" r:id="rId3"/>
    <sheet name="Inventory" sheetId="12" r:id="rId4"/>
    <sheet name="Summary" sheetId="15" r:id="rId5"/>
    <sheet name="World Boss" sheetId="3" r:id="rId6"/>
    <sheet name="Talent Books" sheetId="4" r:id="rId7"/>
    <sheet name="Weekly Boss" sheetId="5" r:id="rId8"/>
    <sheet name="Local Specialties" sheetId="7" r:id="rId9"/>
    <sheet name="Ascension Stones" sheetId="18" r:id="rId10"/>
    <sheet name="Monster Materials" sheetId="17" r:id="rId11"/>
  </sheets>
  <definedNames>
    <definedName name="_xlnm._FilterDatabase" localSheetId="0" hidden="1">'Add New'!#REF!</definedName>
    <definedName name="_xlnm._FilterDatabase" localSheetId="4" hidden="1">Summary!$A$1:$AQ$99</definedName>
    <definedName name="_xlnm._FilterDatabase" localSheetId="6" hidden="1">'Talent Books'!$K$8:$K$86</definedName>
    <definedName name="_xlnm._FilterDatabase" localSheetId="5" hidden="1">'World Boss'!$A$2:$G$33</definedName>
    <definedName name="_xlnm.Extract" localSheetId="9">'Weekly Boss'!$D$3</definedName>
    <definedName name="_xlnm.Extract" localSheetId="8">'Weekly Boss'!$D$3</definedName>
    <definedName name="_xlnm.Extract" localSheetId="10">'Weekly Boss'!$D$3</definedName>
    <definedName name="_xlnm.Extract" localSheetId="4">'World Boss'!$C$3</definedName>
    <definedName name="_xlnm.Extract" localSheetId="6">'Talent Books'!#REF!</definedName>
    <definedName name="_xlnm.Extract" localSheetId="7">'Weekly Boss'!$D$3</definedName>
    <definedName name="HerosWits" localSheetId="9">CharacterDatabase[HerosWits]</definedName>
    <definedName name="HerosWits" localSheetId="10">CharacterDatabase[HerosWits]</definedName>
    <definedName name="HerosWits" localSheetId="4">CharacterDatabase[HerosWits]</definedName>
    <definedName name="HerosWits">CharacterDatabase[HerosWits]</definedName>
    <definedName name="Levels" localSheetId="9">CharacterDatabase[Levels]</definedName>
    <definedName name="Levels" localSheetId="10">CharacterDatabase[Levels]</definedName>
    <definedName name="Levels" localSheetId="4">CharacterDatabase[Levels]</definedName>
    <definedName name="Levels">CharacterDatabase[Levels]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7" l="1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H17" i="17" l="1"/>
  <c r="J17" i="17"/>
  <c r="L17" i="17"/>
  <c r="T4" i="17"/>
  <c r="P6" i="17"/>
  <c r="V6" i="17" s="1"/>
  <c r="N4" i="17"/>
  <c r="N5" i="17"/>
  <c r="T5" i="17" s="1"/>
  <c r="N5" i="12"/>
  <c r="R11" i="17" s="1"/>
  <c r="X11" i="17" s="1"/>
  <c r="N6" i="12"/>
  <c r="N7" i="12"/>
  <c r="N8" i="12"/>
  <c r="N9" i="12"/>
  <c r="N10" i="12"/>
  <c r="N11" i="12"/>
  <c r="N12" i="12"/>
  <c r="N13" i="12"/>
  <c r="N14" i="12"/>
  <c r="N15" i="12"/>
  <c r="N16" i="12"/>
  <c r="N17" i="12"/>
  <c r="L5" i="12"/>
  <c r="L6" i="12"/>
  <c r="L7" i="12"/>
  <c r="L8" i="12"/>
  <c r="P14" i="17" s="1"/>
  <c r="V14" i="17" s="1"/>
  <c r="L9" i="12"/>
  <c r="L10" i="12"/>
  <c r="L11" i="12"/>
  <c r="L12" i="12"/>
  <c r="L13" i="12"/>
  <c r="L14" i="12"/>
  <c r="L15" i="12"/>
  <c r="L16" i="12"/>
  <c r="L17" i="12"/>
  <c r="J5" i="12"/>
  <c r="N6" i="17" s="1"/>
  <c r="T6" i="17" s="1"/>
  <c r="J6" i="12"/>
  <c r="N8" i="17" s="1"/>
  <c r="T8" i="17" s="1"/>
  <c r="J7" i="12"/>
  <c r="N13" i="17" s="1"/>
  <c r="T13" i="17" s="1"/>
  <c r="J8" i="12"/>
  <c r="J9" i="12"/>
  <c r="J10" i="12"/>
  <c r="J11" i="12"/>
  <c r="J12" i="12"/>
  <c r="J13" i="12"/>
  <c r="J14" i="12"/>
  <c r="J15" i="12"/>
  <c r="J16" i="12"/>
  <c r="J17" i="12"/>
  <c r="M5" i="17"/>
  <c r="L4" i="17"/>
  <c r="L5" i="17"/>
  <c r="L6" i="17"/>
  <c r="L7" i="17"/>
  <c r="L8" i="17"/>
  <c r="L9" i="17"/>
  <c r="L10" i="17"/>
  <c r="L11" i="17"/>
  <c r="L12" i="17"/>
  <c r="L13" i="17"/>
  <c r="L14" i="17"/>
  <c r="L15" i="17"/>
  <c r="L16" i="17"/>
  <c r="J4" i="17"/>
  <c r="J5" i="17"/>
  <c r="J6" i="17"/>
  <c r="J7" i="17"/>
  <c r="J8" i="17"/>
  <c r="J9" i="17"/>
  <c r="J10" i="17"/>
  <c r="J11" i="17"/>
  <c r="J12" i="17"/>
  <c r="J13" i="17"/>
  <c r="J14" i="17"/>
  <c r="J15" i="17"/>
  <c r="J16" i="17"/>
  <c r="H4" i="17"/>
  <c r="H5" i="17"/>
  <c r="H6" i="17"/>
  <c r="H7" i="17"/>
  <c r="H8" i="17"/>
  <c r="H9" i="17"/>
  <c r="H10" i="17"/>
  <c r="H11" i="17"/>
  <c r="H12" i="17"/>
  <c r="H13" i="17"/>
  <c r="H14" i="17"/>
  <c r="H15" i="17"/>
  <c r="H16" i="17"/>
  <c r="W16" i="17"/>
  <c r="U16" i="17"/>
  <c r="S16" i="17"/>
  <c r="W15" i="17"/>
  <c r="U15" i="17"/>
  <c r="S15" i="17"/>
  <c r="W14" i="17"/>
  <c r="U14" i="17"/>
  <c r="S14" i="17"/>
  <c r="W13" i="17"/>
  <c r="U13" i="17"/>
  <c r="S13" i="17"/>
  <c r="W12" i="17"/>
  <c r="U12" i="17"/>
  <c r="S12" i="17"/>
  <c r="W11" i="17"/>
  <c r="U11" i="17"/>
  <c r="S11" i="17"/>
  <c r="W10" i="17"/>
  <c r="U10" i="17"/>
  <c r="S10" i="17"/>
  <c r="W9" i="17"/>
  <c r="U9" i="17"/>
  <c r="S9" i="17"/>
  <c r="W8" i="17"/>
  <c r="U8" i="17"/>
  <c r="S8" i="17"/>
  <c r="W7" i="17"/>
  <c r="U7" i="17"/>
  <c r="S7" i="17"/>
  <c r="W6" i="17"/>
  <c r="U6" i="17"/>
  <c r="S6" i="17"/>
  <c r="W5" i="17"/>
  <c r="U5" i="17"/>
  <c r="S5" i="17"/>
  <c r="W4" i="17"/>
  <c r="U4" i="17"/>
  <c r="S4" i="17"/>
  <c r="Q16" i="17"/>
  <c r="R16" i="17" s="1"/>
  <c r="X16" i="17" s="1"/>
  <c r="O16" i="17"/>
  <c r="P16" i="17" s="1"/>
  <c r="V16" i="17" s="1"/>
  <c r="M16" i="17"/>
  <c r="Q15" i="17"/>
  <c r="O15" i="17"/>
  <c r="P15" i="17" s="1"/>
  <c r="V15" i="17" s="1"/>
  <c r="M15" i="17"/>
  <c r="Q14" i="17"/>
  <c r="R14" i="17" s="1"/>
  <c r="X14" i="17" s="1"/>
  <c r="O14" i="17"/>
  <c r="M14" i="17"/>
  <c r="Q13" i="17"/>
  <c r="R13" i="17" s="1"/>
  <c r="X13" i="17" s="1"/>
  <c r="O13" i="17"/>
  <c r="P13" i="17" s="1"/>
  <c r="V13" i="17" s="1"/>
  <c r="M13" i="17"/>
  <c r="Q12" i="17"/>
  <c r="R12" i="17" s="1"/>
  <c r="X12" i="17" s="1"/>
  <c r="O12" i="17"/>
  <c r="P12" i="17" s="1"/>
  <c r="V12" i="17" s="1"/>
  <c r="M12" i="17"/>
  <c r="Q11" i="17"/>
  <c r="O11" i="17"/>
  <c r="P11" i="17" s="1"/>
  <c r="V11" i="17" s="1"/>
  <c r="M11" i="17"/>
  <c r="Q10" i="17"/>
  <c r="R10" i="17" s="1"/>
  <c r="X10" i="17" s="1"/>
  <c r="O10" i="17"/>
  <c r="M10" i="17"/>
  <c r="Q9" i="17"/>
  <c r="R9" i="17" s="1"/>
  <c r="X9" i="17" s="1"/>
  <c r="O9" i="17"/>
  <c r="P9" i="17" s="1"/>
  <c r="V9" i="17" s="1"/>
  <c r="M9" i="17"/>
  <c r="Q8" i="17"/>
  <c r="R8" i="17" s="1"/>
  <c r="X8" i="17" s="1"/>
  <c r="O8" i="17"/>
  <c r="P8" i="17" s="1"/>
  <c r="V8" i="17" s="1"/>
  <c r="M8" i="17"/>
  <c r="Q7" i="17"/>
  <c r="O7" i="17"/>
  <c r="P7" i="17" s="1"/>
  <c r="V7" i="17" s="1"/>
  <c r="M7" i="17"/>
  <c r="Q6" i="17"/>
  <c r="R6" i="17" s="1"/>
  <c r="X6" i="17" s="1"/>
  <c r="O6" i="17"/>
  <c r="M6" i="17"/>
  <c r="Q5" i="17"/>
  <c r="R5" i="17" s="1"/>
  <c r="X5" i="17" s="1"/>
  <c r="O5" i="17"/>
  <c r="P5" i="17" s="1"/>
  <c r="V5" i="17" s="1"/>
  <c r="Q4" i="17"/>
  <c r="R4" i="17" s="1"/>
  <c r="O4" i="17"/>
  <c r="P4" i="17" s="1"/>
  <c r="M4" i="17"/>
  <c r="K4" i="17"/>
  <c r="K5" i="17"/>
  <c r="K6" i="17"/>
  <c r="K7" i="17"/>
  <c r="K8" i="17"/>
  <c r="K9" i="17"/>
  <c r="K10" i="17"/>
  <c r="K11" i="17"/>
  <c r="K12" i="17"/>
  <c r="K13" i="17"/>
  <c r="K14" i="17"/>
  <c r="K15" i="17"/>
  <c r="K16" i="17"/>
  <c r="I4" i="17"/>
  <c r="I5" i="17"/>
  <c r="I6" i="17"/>
  <c r="I7" i="17"/>
  <c r="I8" i="17"/>
  <c r="I9" i="17"/>
  <c r="I10" i="17"/>
  <c r="I11" i="17"/>
  <c r="I12" i="17"/>
  <c r="I13" i="17"/>
  <c r="I14" i="17"/>
  <c r="I15" i="17"/>
  <c r="I16" i="17"/>
  <c r="G4" i="17"/>
  <c r="G5" i="17"/>
  <c r="G6" i="17"/>
  <c r="G7" i="17"/>
  <c r="G8" i="17"/>
  <c r="G9" i="17"/>
  <c r="G10" i="17"/>
  <c r="G11" i="17"/>
  <c r="G12" i="17"/>
  <c r="G13" i="17"/>
  <c r="G14" i="17"/>
  <c r="G15" i="17"/>
  <c r="G16" i="17"/>
  <c r="AB3" i="13"/>
  <c r="AB4" i="13"/>
  <c r="AB5" i="13"/>
  <c r="AB6" i="13"/>
  <c r="AB7" i="13"/>
  <c r="AB8" i="13"/>
  <c r="AB9" i="13"/>
  <c r="AB10" i="13"/>
  <c r="AB11" i="13"/>
  <c r="AB12" i="13"/>
  <c r="AB13" i="13"/>
  <c r="AB14" i="13"/>
  <c r="AB15" i="13"/>
  <c r="AD3" i="13"/>
  <c r="AD4" i="13"/>
  <c r="AD5" i="13"/>
  <c r="AD6" i="13"/>
  <c r="AD7" i="13"/>
  <c r="AD8" i="13"/>
  <c r="AD9" i="13"/>
  <c r="AD10" i="13"/>
  <c r="AD11" i="13"/>
  <c r="AD12" i="13"/>
  <c r="AD13" i="13"/>
  <c r="AD14" i="13"/>
  <c r="AD15" i="13"/>
  <c r="Z15" i="13"/>
  <c r="L74" i="13" s="1"/>
  <c r="AZ79" i="15" s="1"/>
  <c r="Z14" i="13"/>
  <c r="Z13" i="13"/>
  <c r="L4" i="13" s="1"/>
  <c r="AZ4" i="15" s="1"/>
  <c r="Z12" i="13"/>
  <c r="L61" i="13" s="1"/>
  <c r="AZ9" i="15" s="1"/>
  <c r="Z11" i="13"/>
  <c r="L29" i="13" s="1"/>
  <c r="AZ5" i="15" s="1"/>
  <c r="Z10" i="13"/>
  <c r="L13" i="13" s="1"/>
  <c r="AZ37" i="15" s="1"/>
  <c r="Z9" i="13"/>
  <c r="L35" i="13" s="1"/>
  <c r="AZ31" i="15" s="1"/>
  <c r="Z8" i="13"/>
  <c r="L40" i="13" s="1"/>
  <c r="AZ67" i="15" s="1"/>
  <c r="Z7" i="13"/>
  <c r="Z6" i="13"/>
  <c r="Z5" i="13"/>
  <c r="L20" i="13" s="1"/>
  <c r="AZ57" i="15" s="1"/>
  <c r="Z4" i="13"/>
  <c r="L34" i="13" s="1"/>
  <c r="AZ27" i="15" s="1"/>
  <c r="Z3" i="13"/>
  <c r="L90" i="13" s="1"/>
  <c r="AZ90" i="15" s="1"/>
  <c r="AL3" i="13"/>
  <c r="W5" i="12" s="1"/>
  <c r="AL7" i="13"/>
  <c r="AU3" i="15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26" i="3"/>
  <c r="AU3" i="13"/>
  <c r="G73" i="13" s="1"/>
  <c r="E78" i="15" s="1"/>
  <c r="AU4" i="13"/>
  <c r="G56" i="13" s="1"/>
  <c r="E56" i="15" s="1"/>
  <c r="AU5" i="13"/>
  <c r="G39" i="13" s="1"/>
  <c r="AU6" i="13"/>
  <c r="G24" i="13" s="1"/>
  <c r="E73" i="15" s="1"/>
  <c r="AU7" i="13"/>
  <c r="G68" i="13" s="1"/>
  <c r="E53" i="15" s="1"/>
  <c r="AU8" i="13"/>
  <c r="G81" i="13" s="1"/>
  <c r="E33" i="15" s="1"/>
  <c r="AU9" i="13"/>
  <c r="G47" i="13" s="1"/>
  <c r="E17" i="15" s="1"/>
  <c r="BW3" i="15"/>
  <c r="BW4" i="15"/>
  <c r="BW5" i="15"/>
  <c r="BW6" i="15"/>
  <c r="BW7" i="15"/>
  <c r="BW8" i="15"/>
  <c r="BW9" i="15"/>
  <c r="BW10" i="15"/>
  <c r="BW11" i="15"/>
  <c r="BW12" i="15"/>
  <c r="BW13" i="15"/>
  <c r="BW14" i="15"/>
  <c r="BW15" i="15"/>
  <c r="BW16" i="15"/>
  <c r="BW17" i="15"/>
  <c r="BW18" i="15"/>
  <c r="BW19" i="15"/>
  <c r="BW20" i="15"/>
  <c r="BW21" i="15"/>
  <c r="BW22" i="15"/>
  <c r="BW23" i="15"/>
  <c r="BW24" i="15"/>
  <c r="BW25" i="15"/>
  <c r="BW26" i="15"/>
  <c r="BW27" i="15"/>
  <c r="BW28" i="15"/>
  <c r="BW29" i="15"/>
  <c r="BW30" i="15"/>
  <c r="BW31" i="15"/>
  <c r="BW32" i="15"/>
  <c r="BW33" i="15"/>
  <c r="BW34" i="15"/>
  <c r="BW35" i="15"/>
  <c r="BW36" i="15"/>
  <c r="BW37" i="15"/>
  <c r="BW38" i="15"/>
  <c r="BW39" i="15"/>
  <c r="BW40" i="15"/>
  <c r="BW41" i="15"/>
  <c r="BW42" i="15"/>
  <c r="BW43" i="15"/>
  <c r="BW44" i="15"/>
  <c r="BW45" i="15"/>
  <c r="BW46" i="15"/>
  <c r="BW47" i="15"/>
  <c r="BW48" i="15"/>
  <c r="BW49" i="15"/>
  <c r="BW50" i="15"/>
  <c r="BW51" i="15"/>
  <c r="BW52" i="15"/>
  <c r="BW53" i="15"/>
  <c r="BW54" i="15"/>
  <c r="BW55" i="15"/>
  <c r="BW56" i="15"/>
  <c r="BW57" i="15"/>
  <c r="BW58" i="15"/>
  <c r="BW59" i="15"/>
  <c r="BW60" i="15"/>
  <c r="BW61" i="15"/>
  <c r="BW62" i="15"/>
  <c r="BW63" i="15"/>
  <c r="BW64" i="15"/>
  <c r="BW65" i="15"/>
  <c r="BW66" i="15"/>
  <c r="BW67" i="15"/>
  <c r="BW68" i="15"/>
  <c r="BW69" i="15"/>
  <c r="BW70" i="15"/>
  <c r="BW71" i="15"/>
  <c r="BW72" i="15"/>
  <c r="BW73" i="15"/>
  <c r="BW74" i="15"/>
  <c r="BW75" i="15"/>
  <c r="BW76" i="15"/>
  <c r="BW77" i="15"/>
  <c r="BW78" i="15"/>
  <c r="BW79" i="15"/>
  <c r="BW80" i="15"/>
  <c r="BW81" i="15"/>
  <c r="BW82" i="15"/>
  <c r="BW83" i="15"/>
  <c r="BW84" i="15"/>
  <c r="BW85" i="15"/>
  <c r="BW86" i="15"/>
  <c r="BW87" i="15"/>
  <c r="BW88" i="15"/>
  <c r="BW89" i="15"/>
  <c r="BW90" i="15"/>
  <c r="BW91" i="15"/>
  <c r="BV3" i="15"/>
  <c r="BV4" i="15"/>
  <c r="BV5" i="15"/>
  <c r="BV6" i="15"/>
  <c r="BV7" i="15"/>
  <c r="BV8" i="15"/>
  <c r="BV9" i="15"/>
  <c r="BV10" i="15"/>
  <c r="BV11" i="15"/>
  <c r="BV12" i="15"/>
  <c r="BV13" i="15"/>
  <c r="BV14" i="15"/>
  <c r="BV15" i="15"/>
  <c r="BV16" i="15"/>
  <c r="BV17" i="15"/>
  <c r="BV18" i="15"/>
  <c r="BV19" i="15"/>
  <c r="BV20" i="15"/>
  <c r="BV21" i="15"/>
  <c r="BV22" i="15"/>
  <c r="BV23" i="15"/>
  <c r="BV24" i="15"/>
  <c r="BV25" i="15"/>
  <c r="BV26" i="15"/>
  <c r="BV27" i="15"/>
  <c r="BV28" i="15"/>
  <c r="BV29" i="15"/>
  <c r="BV30" i="15"/>
  <c r="BV31" i="15"/>
  <c r="BV32" i="15"/>
  <c r="BV33" i="15"/>
  <c r="BV34" i="15"/>
  <c r="BV35" i="15"/>
  <c r="BV36" i="15"/>
  <c r="BV37" i="15"/>
  <c r="BV38" i="15"/>
  <c r="BV39" i="15"/>
  <c r="BV40" i="15"/>
  <c r="BV41" i="15"/>
  <c r="BV42" i="15"/>
  <c r="BV43" i="15"/>
  <c r="BV44" i="15"/>
  <c r="BV45" i="15"/>
  <c r="BV46" i="15"/>
  <c r="BV47" i="15"/>
  <c r="BV48" i="15"/>
  <c r="BV49" i="15"/>
  <c r="BV50" i="15"/>
  <c r="BV51" i="15"/>
  <c r="BV52" i="15"/>
  <c r="BV53" i="15"/>
  <c r="BV54" i="15"/>
  <c r="BV55" i="15"/>
  <c r="BV56" i="15"/>
  <c r="BV57" i="15"/>
  <c r="BV58" i="15"/>
  <c r="BV59" i="15"/>
  <c r="BV60" i="15"/>
  <c r="BV61" i="15"/>
  <c r="BV62" i="15"/>
  <c r="BV63" i="15"/>
  <c r="BV64" i="15"/>
  <c r="BV65" i="15"/>
  <c r="BV66" i="15"/>
  <c r="BV67" i="15"/>
  <c r="BV68" i="15"/>
  <c r="BV69" i="15"/>
  <c r="BV70" i="15"/>
  <c r="BV71" i="15"/>
  <c r="BV72" i="15"/>
  <c r="BV73" i="15"/>
  <c r="BV74" i="15"/>
  <c r="BV75" i="15"/>
  <c r="BV76" i="15"/>
  <c r="BV77" i="15"/>
  <c r="BV78" i="15"/>
  <c r="BV79" i="15"/>
  <c r="BV80" i="15"/>
  <c r="BV81" i="15"/>
  <c r="BV82" i="15"/>
  <c r="BV83" i="15"/>
  <c r="BV84" i="15"/>
  <c r="BV85" i="15"/>
  <c r="BV86" i="15"/>
  <c r="BV87" i="15"/>
  <c r="BV88" i="15"/>
  <c r="BV89" i="15"/>
  <c r="BV90" i="15"/>
  <c r="BV91" i="15"/>
  <c r="BU3" i="15"/>
  <c r="BU4" i="15"/>
  <c r="BU5" i="15"/>
  <c r="BU6" i="15"/>
  <c r="BU7" i="15"/>
  <c r="BU8" i="15"/>
  <c r="BU9" i="15"/>
  <c r="BU10" i="15"/>
  <c r="BU11" i="15"/>
  <c r="BU12" i="15"/>
  <c r="BU13" i="15"/>
  <c r="BU14" i="15"/>
  <c r="BU15" i="15"/>
  <c r="BU16" i="15"/>
  <c r="BU17" i="15"/>
  <c r="BU18" i="15"/>
  <c r="BU19" i="15"/>
  <c r="BU20" i="15"/>
  <c r="BU21" i="15"/>
  <c r="BU22" i="15"/>
  <c r="BU23" i="15"/>
  <c r="BU24" i="15"/>
  <c r="BU25" i="15"/>
  <c r="BU26" i="15"/>
  <c r="BU27" i="15"/>
  <c r="BU28" i="15"/>
  <c r="BU29" i="15"/>
  <c r="BU30" i="15"/>
  <c r="BU31" i="15"/>
  <c r="BU32" i="15"/>
  <c r="BU33" i="15"/>
  <c r="BU34" i="15"/>
  <c r="BU35" i="15"/>
  <c r="BU36" i="15"/>
  <c r="BU37" i="15"/>
  <c r="BU38" i="15"/>
  <c r="BU39" i="15"/>
  <c r="BU40" i="15"/>
  <c r="BU41" i="15"/>
  <c r="BU42" i="15"/>
  <c r="BU43" i="15"/>
  <c r="BU44" i="15"/>
  <c r="BU45" i="15"/>
  <c r="BU46" i="15"/>
  <c r="BU47" i="15"/>
  <c r="BU48" i="15"/>
  <c r="BU49" i="15"/>
  <c r="BU50" i="15"/>
  <c r="BU51" i="15"/>
  <c r="BU52" i="15"/>
  <c r="BU53" i="15"/>
  <c r="BU54" i="15"/>
  <c r="BU55" i="15"/>
  <c r="BU56" i="15"/>
  <c r="BU57" i="15"/>
  <c r="BU58" i="15"/>
  <c r="BU59" i="15"/>
  <c r="BU60" i="15"/>
  <c r="BU61" i="15"/>
  <c r="BU62" i="15"/>
  <c r="BU63" i="15"/>
  <c r="BU64" i="15"/>
  <c r="BU65" i="15"/>
  <c r="BU66" i="15"/>
  <c r="BU67" i="15"/>
  <c r="BU68" i="15"/>
  <c r="BU69" i="15"/>
  <c r="BU70" i="15"/>
  <c r="BU71" i="15"/>
  <c r="BU72" i="15"/>
  <c r="BU73" i="15"/>
  <c r="BU74" i="15"/>
  <c r="BU75" i="15"/>
  <c r="BU76" i="15"/>
  <c r="BU77" i="15"/>
  <c r="BU78" i="15"/>
  <c r="BU79" i="15"/>
  <c r="BU80" i="15"/>
  <c r="BU81" i="15"/>
  <c r="BU82" i="15"/>
  <c r="BU83" i="15"/>
  <c r="BU84" i="15"/>
  <c r="BU85" i="15"/>
  <c r="BU86" i="15"/>
  <c r="BU87" i="15"/>
  <c r="BU88" i="15"/>
  <c r="BU89" i="15"/>
  <c r="BU90" i="15"/>
  <c r="BU91" i="15"/>
  <c r="BT3" i="15"/>
  <c r="BT4" i="15"/>
  <c r="BX4" i="15" s="1"/>
  <c r="BT5" i="15"/>
  <c r="BT6" i="15"/>
  <c r="BX6" i="15" s="1"/>
  <c r="BT7" i="15"/>
  <c r="BT8" i="15"/>
  <c r="BX8" i="15" s="1"/>
  <c r="BT9" i="15"/>
  <c r="BT10" i="15"/>
  <c r="BX10" i="15" s="1"/>
  <c r="BT11" i="15"/>
  <c r="BT12" i="15"/>
  <c r="BX12" i="15" s="1"/>
  <c r="BT13" i="15"/>
  <c r="BT14" i="15"/>
  <c r="BX14" i="15" s="1"/>
  <c r="BT15" i="15"/>
  <c r="BT16" i="15"/>
  <c r="BX16" i="15" s="1"/>
  <c r="BT17" i="15"/>
  <c r="BT18" i="15"/>
  <c r="BX18" i="15" s="1"/>
  <c r="BT19" i="15"/>
  <c r="BT20" i="15"/>
  <c r="BX20" i="15" s="1"/>
  <c r="BT21" i="15"/>
  <c r="BT22" i="15"/>
  <c r="BX22" i="15" s="1"/>
  <c r="BT23" i="15"/>
  <c r="BT24" i="15"/>
  <c r="BX24" i="15" s="1"/>
  <c r="BT25" i="15"/>
  <c r="BT26" i="15"/>
  <c r="BX26" i="15" s="1"/>
  <c r="BT27" i="15"/>
  <c r="BT28" i="15"/>
  <c r="BX28" i="15" s="1"/>
  <c r="BT29" i="15"/>
  <c r="BT30" i="15"/>
  <c r="BX30" i="15" s="1"/>
  <c r="BT31" i="15"/>
  <c r="BT32" i="15"/>
  <c r="BX32" i="15" s="1"/>
  <c r="BT33" i="15"/>
  <c r="BT34" i="15"/>
  <c r="BX34" i="15" s="1"/>
  <c r="BT35" i="15"/>
  <c r="BT36" i="15"/>
  <c r="BX36" i="15" s="1"/>
  <c r="BT37" i="15"/>
  <c r="BT38" i="15"/>
  <c r="BX38" i="15" s="1"/>
  <c r="BT39" i="15"/>
  <c r="BT40" i="15"/>
  <c r="BX40" i="15" s="1"/>
  <c r="BT41" i="15"/>
  <c r="BT42" i="15"/>
  <c r="BX42" i="15" s="1"/>
  <c r="BT43" i="15"/>
  <c r="BT44" i="15"/>
  <c r="BX44" i="15" s="1"/>
  <c r="BT45" i="15"/>
  <c r="BT46" i="15"/>
  <c r="BX46" i="15" s="1"/>
  <c r="BT47" i="15"/>
  <c r="BT48" i="15"/>
  <c r="BX48" i="15" s="1"/>
  <c r="BT49" i="15"/>
  <c r="BT50" i="15"/>
  <c r="BX50" i="15" s="1"/>
  <c r="BT51" i="15"/>
  <c r="BT52" i="15"/>
  <c r="BX52" i="15" s="1"/>
  <c r="BT53" i="15"/>
  <c r="BT54" i="15"/>
  <c r="BX54" i="15" s="1"/>
  <c r="BT55" i="15"/>
  <c r="BT56" i="15"/>
  <c r="BX56" i="15" s="1"/>
  <c r="BT57" i="15"/>
  <c r="BT58" i="15"/>
  <c r="BX58" i="15" s="1"/>
  <c r="BT59" i="15"/>
  <c r="BT60" i="15"/>
  <c r="BX60" i="15" s="1"/>
  <c r="BT61" i="15"/>
  <c r="BT62" i="15"/>
  <c r="BX62" i="15" s="1"/>
  <c r="BT63" i="15"/>
  <c r="BT64" i="15"/>
  <c r="BX64" i="15" s="1"/>
  <c r="BT65" i="15"/>
  <c r="BT66" i="15"/>
  <c r="BX66" i="15" s="1"/>
  <c r="BT67" i="15"/>
  <c r="BT68" i="15"/>
  <c r="BX68" i="15" s="1"/>
  <c r="BT69" i="15"/>
  <c r="BT70" i="15"/>
  <c r="BX70" i="15" s="1"/>
  <c r="BT71" i="15"/>
  <c r="BT72" i="15"/>
  <c r="BX72" i="15" s="1"/>
  <c r="BT73" i="15"/>
  <c r="BT74" i="15"/>
  <c r="BX74" i="15" s="1"/>
  <c r="BT75" i="15"/>
  <c r="BT76" i="15"/>
  <c r="BX76" i="15" s="1"/>
  <c r="BT77" i="15"/>
  <c r="BT78" i="15"/>
  <c r="BX78" i="15" s="1"/>
  <c r="BT79" i="15"/>
  <c r="BT80" i="15"/>
  <c r="BX80" i="15" s="1"/>
  <c r="BT81" i="15"/>
  <c r="BT82" i="15"/>
  <c r="BX82" i="15" s="1"/>
  <c r="BT83" i="15"/>
  <c r="BT84" i="15"/>
  <c r="BX84" i="15" s="1"/>
  <c r="BT85" i="15"/>
  <c r="BT86" i="15"/>
  <c r="BX86" i="15" s="1"/>
  <c r="BT87" i="15"/>
  <c r="BT88" i="15"/>
  <c r="BX88" i="15" s="1"/>
  <c r="BT89" i="15"/>
  <c r="BT90" i="15"/>
  <c r="BX90" i="15" s="1"/>
  <c r="BT91" i="15"/>
  <c r="BO3" i="15"/>
  <c r="BO4" i="15"/>
  <c r="BO5" i="15"/>
  <c r="BO6" i="15"/>
  <c r="BO7" i="15"/>
  <c r="BO8" i="15"/>
  <c r="BO9" i="15"/>
  <c r="BO10" i="15"/>
  <c r="BO11" i="15"/>
  <c r="BO12" i="15"/>
  <c r="BO13" i="15"/>
  <c r="BO14" i="15"/>
  <c r="BO15" i="15"/>
  <c r="BO16" i="15"/>
  <c r="BO17" i="15"/>
  <c r="BO18" i="15"/>
  <c r="BO19" i="15"/>
  <c r="BO20" i="15"/>
  <c r="BO21" i="15"/>
  <c r="BO22" i="15"/>
  <c r="BO23" i="15"/>
  <c r="BO24" i="15"/>
  <c r="BO25" i="15"/>
  <c r="BO26" i="15"/>
  <c r="BO27" i="15"/>
  <c r="BO28" i="15"/>
  <c r="BO29" i="15"/>
  <c r="BO30" i="15"/>
  <c r="BO31" i="15"/>
  <c r="BO32" i="15"/>
  <c r="BO33" i="15"/>
  <c r="BO34" i="15"/>
  <c r="BO35" i="15"/>
  <c r="BO36" i="15"/>
  <c r="BO37" i="15"/>
  <c r="BO38" i="15"/>
  <c r="BO39" i="15"/>
  <c r="BO40" i="15"/>
  <c r="BO41" i="15"/>
  <c r="BO42" i="15"/>
  <c r="BO43" i="15"/>
  <c r="BO44" i="15"/>
  <c r="BO45" i="15"/>
  <c r="BO46" i="15"/>
  <c r="BO47" i="15"/>
  <c r="BO48" i="15"/>
  <c r="BO49" i="15"/>
  <c r="BO50" i="15"/>
  <c r="BO51" i="15"/>
  <c r="BO52" i="15"/>
  <c r="BO53" i="15"/>
  <c r="BO54" i="15"/>
  <c r="BO55" i="15"/>
  <c r="BO56" i="15"/>
  <c r="BO57" i="15"/>
  <c r="BO58" i="15"/>
  <c r="BO59" i="15"/>
  <c r="BO60" i="15"/>
  <c r="BO61" i="15"/>
  <c r="BO62" i="15"/>
  <c r="BO63" i="15"/>
  <c r="BO64" i="15"/>
  <c r="BO65" i="15"/>
  <c r="BO66" i="15"/>
  <c r="BO67" i="15"/>
  <c r="BO68" i="15"/>
  <c r="BO69" i="15"/>
  <c r="BO70" i="15"/>
  <c r="BO71" i="15"/>
  <c r="BO72" i="15"/>
  <c r="BO73" i="15"/>
  <c r="BO74" i="15"/>
  <c r="BO75" i="15"/>
  <c r="BO76" i="15"/>
  <c r="BO77" i="15"/>
  <c r="BO78" i="15"/>
  <c r="BO79" i="15"/>
  <c r="BO80" i="15"/>
  <c r="BO81" i="15"/>
  <c r="BO82" i="15"/>
  <c r="BO83" i="15"/>
  <c r="BO84" i="15"/>
  <c r="BO85" i="15"/>
  <c r="BO86" i="15"/>
  <c r="BO87" i="15"/>
  <c r="BO88" i="15"/>
  <c r="BO89" i="15"/>
  <c r="BO90" i="15"/>
  <c r="BO91" i="15"/>
  <c r="BN3" i="15"/>
  <c r="BN4" i="15"/>
  <c r="BN5" i="15"/>
  <c r="BN6" i="15"/>
  <c r="BN7" i="15"/>
  <c r="BN8" i="15"/>
  <c r="BN9" i="15"/>
  <c r="BN10" i="15"/>
  <c r="BN11" i="15"/>
  <c r="BN12" i="15"/>
  <c r="BN13" i="15"/>
  <c r="BN14" i="15"/>
  <c r="BN15" i="15"/>
  <c r="BN16" i="15"/>
  <c r="BN17" i="15"/>
  <c r="BN18" i="15"/>
  <c r="BN19" i="15"/>
  <c r="BN20" i="15"/>
  <c r="BN21" i="15"/>
  <c r="BN22" i="15"/>
  <c r="BN23" i="15"/>
  <c r="BN24" i="15"/>
  <c r="BN25" i="15"/>
  <c r="BN26" i="15"/>
  <c r="BN27" i="15"/>
  <c r="BN28" i="15"/>
  <c r="BN29" i="15"/>
  <c r="BN30" i="15"/>
  <c r="BN31" i="15"/>
  <c r="BN32" i="15"/>
  <c r="BN33" i="15"/>
  <c r="BN34" i="15"/>
  <c r="BN35" i="15"/>
  <c r="BN36" i="15"/>
  <c r="BN37" i="15"/>
  <c r="BN38" i="15"/>
  <c r="BN39" i="15"/>
  <c r="BN40" i="15"/>
  <c r="BN41" i="15"/>
  <c r="BN42" i="15"/>
  <c r="BN43" i="15"/>
  <c r="BN44" i="15"/>
  <c r="BN45" i="15"/>
  <c r="BN46" i="15"/>
  <c r="BN47" i="15"/>
  <c r="BN48" i="15"/>
  <c r="BN49" i="15"/>
  <c r="BN50" i="15"/>
  <c r="BN51" i="15"/>
  <c r="BN52" i="15"/>
  <c r="BN53" i="15"/>
  <c r="BN54" i="15"/>
  <c r="BN55" i="15"/>
  <c r="BN56" i="15"/>
  <c r="BN57" i="15"/>
  <c r="BN58" i="15"/>
  <c r="BN59" i="15"/>
  <c r="BN60" i="15"/>
  <c r="BN61" i="15"/>
  <c r="BN62" i="15"/>
  <c r="BN63" i="15"/>
  <c r="BN64" i="15"/>
  <c r="BN65" i="15"/>
  <c r="BN66" i="15"/>
  <c r="BN67" i="15"/>
  <c r="BN68" i="15"/>
  <c r="BN69" i="15"/>
  <c r="BN70" i="15"/>
  <c r="BN71" i="15"/>
  <c r="BN72" i="15"/>
  <c r="BN73" i="15"/>
  <c r="BN74" i="15"/>
  <c r="BN75" i="15"/>
  <c r="BN76" i="15"/>
  <c r="BN77" i="15"/>
  <c r="BN78" i="15"/>
  <c r="BN79" i="15"/>
  <c r="BN80" i="15"/>
  <c r="BN81" i="15"/>
  <c r="BN82" i="15"/>
  <c r="BN83" i="15"/>
  <c r="BN84" i="15"/>
  <c r="BN85" i="15"/>
  <c r="BN86" i="15"/>
  <c r="BN87" i="15"/>
  <c r="BN88" i="15"/>
  <c r="BN89" i="15"/>
  <c r="BN90" i="15"/>
  <c r="BN91" i="15"/>
  <c r="BM3" i="15"/>
  <c r="BM4" i="15"/>
  <c r="BM5" i="15"/>
  <c r="BM6" i="15"/>
  <c r="BM7" i="15"/>
  <c r="BM8" i="15"/>
  <c r="BM9" i="15"/>
  <c r="BM10" i="15"/>
  <c r="BM11" i="15"/>
  <c r="BM12" i="15"/>
  <c r="BM13" i="15"/>
  <c r="BM14" i="15"/>
  <c r="BM15" i="15"/>
  <c r="BM16" i="15"/>
  <c r="BM17" i="15"/>
  <c r="BM18" i="15"/>
  <c r="BM19" i="15"/>
  <c r="BM20" i="15"/>
  <c r="BM21" i="15"/>
  <c r="BM22" i="15"/>
  <c r="BM23" i="15"/>
  <c r="BM24" i="15"/>
  <c r="BM25" i="15"/>
  <c r="BM26" i="15"/>
  <c r="BM27" i="15"/>
  <c r="BM28" i="15"/>
  <c r="BM29" i="15"/>
  <c r="BM30" i="15"/>
  <c r="BM31" i="15"/>
  <c r="BM32" i="15"/>
  <c r="BM33" i="15"/>
  <c r="BM34" i="15"/>
  <c r="BM35" i="15"/>
  <c r="BM36" i="15"/>
  <c r="BM37" i="15"/>
  <c r="BM38" i="15"/>
  <c r="BM39" i="15"/>
  <c r="BM40" i="15"/>
  <c r="BM41" i="15"/>
  <c r="BM42" i="15"/>
  <c r="BM43" i="15"/>
  <c r="BM44" i="15"/>
  <c r="BM45" i="15"/>
  <c r="BM46" i="15"/>
  <c r="BM47" i="15"/>
  <c r="BM48" i="15"/>
  <c r="BM49" i="15"/>
  <c r="BM50" i="15"/>
  <c r="BM51" i="15"/>
  <c r="BM52" i="15"/>
  <c r="BM53" i="15"/>
  <c r="BM54" i="15"/>
  <c r="BM55" i="15"/>
  <c r="BM56" i="15"/>
  <c r="BM57" i="15"/>
  <c r="BM58" i="15"/>
  <c r="BM59" i="15"/>
  <c r="BM60" i="15"/>
  <c r="BM61" i="15"/>
  <c r="BM62" i="15"/>
  <c r="BM63" i="15"/>
  <c r="BM64" i="15"/>
  <c r="BM65" i="15"/>
  <c r="BM66" i="15"/>
  <c r="BM67" i="15"/>
  <c r="BM68" i="15"/>
  <c r="BM69" i="15"/>
  <c r="BM70" i="15"/>
  <c r="BM71" i="15"/>
  <c r="BM72" i="15"/>
  <c r="BM73" i="15"/>
  <c r="BM74" i="15"/>
  <c r="BM75" i="15"/>
  <c r="BM76" i="15"/>
  <c r="BM77" i="15"/>
  <c r="BM78" i="15"/>
  <c r="BM79" i="15"/>
  <c r="BM80" i="15"/>
  <c r="BM81" i="15"/>
  <c r="BM82" i="15"/>
  <c r="BM83" i="15"/>
  <c r="BM84" i="15"/>
  <c r="BM85" i="15"/>
  <c r="BM86" i="15"/>
  <c r="BM87" i="15"/>
  <c r="BM88" i="15"/>
  <c r="BM89" i="15"/>
  <c r="BM90" i="15"/>
  <c r="BM91" i="15"/>
  <c r="BL3" i="15"/>
  <c r="BL4" i="15"/>
  <c r="BL5" i="15"/>
  <c r="BL6" i="15"/>
  <c r="BL7" i="15"/>
  <c r="BL8" i="15"/>
  <c r="BL9" i="15"/>
  <c r="BL10" i="15"/>
  <c r="BL11" i="15"/>
  <c r="BL12" i="15"/>
  <c r="BL13" i="15"/>
  <c r="BL14" i="15"/>
  <c r="BL15" i="15"/>
  <c r="BL16" i="15"/>
  <c r="BL17" i="15"/>
  <c r="BL18" i="15"/>
  <c r="BL19" i="15"/>
  <c r="BL20" i="15"/>
  <c r="BL21" i="15"/>
  <c r="BL22" i="15"/>
  <c r="BL23" i="15"/>
  <c r="BL24" i="15"/>
  <c r="BL25" i="15"/>
  <c r="BL26" i="15"/>
  <c r="BL27" i="15"/>
  <c r="BL28" i="15"/>
  <c r="BL29" i="15"/>
  <c r="BL30" i="15"/>
  <c r="BL31" i="15"/>
  <c r="BL32" i="15"/>
  <c r="BL33" i="15"/>
  <c r="BL34" i="15"/>
  <c r="BL35" i="15"/>
  <c r="BL36" i="15"/>
  <c r="BL37" i="15"/>
  <c r="BL38" i="15"/>
  <c r="BL39" i="15"/>
  <c r="BL40" i="15"/>
  <c r="BL41" i="15"/>
  <c r="BL42" i="15"/>
  <c r="BL43" i="15"/>
  <c r="BL44" i="15"/>
  <c r="BL45" i="15"/>
  <c r="BL46" i="15"/>
  <c r="BL47" i="15"/>
  <c r="BL48" i="15"/>
  <c r="BL49" i="15"/>
  <c r="BL50" i="15"/>
  <c r="BL51" i="15"/>
  <c r="BL52" i="15"/>
  <c r="BL53" i="15"/>
  <c r="BL54" i="15"/>
  <c r="BL55" i="15"/>
  <c r="BL56" i="15"/>
  <c r="BL57" i="15"/>
  <c r="BL58" i="15"/>
  <c r="BL59" i="15"/>
  <c r="BL60" i="15"/>
  <c r="BL61" i="15"/>
  <c r="BL62" i="15"/>
  <c r="BL63" i="15"/>
  <c r="BL64" i="15"/>
  <c r="BL65" i="15"/>
  <c r="BL66" i="15"/>
  <c r="BL67" i="15"/>
  <c r="BL68" i="15"/>
  <c r="BL69" i="15"/>
  <c r="BL70" i="15"/>
  <c r="BL71" i="15"/>
  <c r="BL72" i="15"/>
  <c r="BL73" i="15"/>
  <c r="BL74" i="15"/>
  <c r="BL75" i="15"/>
  <c r="BL76" i="15"/>
  <c r="BL77" i="15"/>
  <c r="BL78" i="15"/>
  <c r="BL79" i="15"/>
  <c r="BL80" i="15"/>
  <c r="BL81" i="15"/>
  <c r="BL82" i="15"/>
  <c r="BL83" i="15"/>
  <c r="BL84" i="15"/>
  <c r="BL85" i="15"/>
  <c r="BL86" i="15"/>
  <c r="BL87" i="15"/>
  <c r="BL88" i="15"/>
  <c r="BL89" i="15"/>
  <c r="BL90" i="15"/>
  <c r="BL91" i="15"/>
  <c r="BK3" i="15"/>
  <c r="BK4" i="15"/>
  <c r="BK5" i="15"/>
  <c r="BK6" i="15"/>
  <c r="BK7" i="15"/>
  <c r="BK8" i="15"/>
  <c r="BK9" i="15"/>
  <c r="BK10" i="15"/>
  <c r="BK11" i="15"/>
  <c r="BK12" i="15"/>
  <c r="BK13" i="15"/>
  <c r="BK14" i="15"/>
  <c r="BK15" i="15"/>
  <c r="BK16" i="15"/>
  <c r="BK17" i="15"/>
  <c r="BK18" i="15"/>
  <c r="BK19" i="15"/>
  <c r="BK20" i="15"/>
  <c r="BK21" i="15"/>
  <c r="BK22" i="15"/>
  <c r="BK23" i="15"/>
  <c r="BK24" i="15"/>
  <c r="BK25" i="15"/>
  <c r="BK26" i="15"/>
  <c r="BK27" i="15"/>
  <c r="BK28" i="15"/>
  <c r="BK29" i="15"/>
  <c r="BK30" i="15"/>
  <c r="BK31" i="15"/>
  <c r="BK32" i="15"/>
  <c r="BK33" i="15"/>
  <c r="BK34" i="15"/>
  <c r="BK35" i="15"/>
  <c r="BK36" i="15"/>
  <c r="BK37" i="15"/>
  <c r="BK38" i="15"/>
  <c r="BK39" i="15"/>
  <c r="BK40" i="15"/>
  <c r="BK41" i="15"/>
  <c r="BK42" i="15"/>
  <c r="BK43" i="15"/>
  <c r="BK44" i="15"/>
  <c r="BK45" i="15"/>
  <c r="BK46" i="15"/>
  <c r="BK47" i="15"/>
  <c r="BK48" i="15"/>
  <c r="BK49" i="15"/>
  <c r="BK50" i="15"/>
  <c r="BK51" i="15"/>
  <c r="BK52" i="15"/>
  <c r="BK53" i="15"/>
  <c r="BK54" i="15"/>
  <c r="BK55" i="15"/>
  <c r="BK56" i="15"/>
  <c r="BK57" i="15"/>
  <c r="BK58" i="15"/>
  <c r="BK59" i="15"/>
  <c r="BK60" i="15"/>
  <c r="BK61" i="15"/>
  <c r="BK62" i="15"/>
  <c r="BK63" i="15"/>
  <c r="BK64" i="15"/>
  <c r="BK65" i="15"/>
  <c r="BK66" i="15"/>
  <c r="BK67" i="15"/>
  <c r="BK68" i="15"/>
  <c r="BK69" i="15"/>
  <c r="BK70" i="15"/>
  <c r="BK71" i="15"/>
  <c r="BK72" i="15"/>
  <c r="BK73" i="15"/>
  <c r="BK74" i="15"/>
  <c r="BK75" i="15"/>
  <c r="BK76" i="15"/>
  <c r="BK77" i="15"/>
  <c r="BK78" i="15"/>
  <c r="BK79" i="15"/>
  <c r="BK80" i="15"/>
  <c r="BK81" i="15"/>
  <c r="BK82" i="15"/>
  <c r="BK83" i="15"/>
  <c r="BK84" i="15"/>
  <c r="BK85" i="15"/>
  <c r="BK86" i="15"/>
  <c r="BK87" i="15"/>
  <c r="BK88" i="15"/>
  <c r="BK89" i="15"/>
  <c r="BK90" i="15"/>
  <c r="BK91" i="15"/>
  <c r="BJ3" i="15"/>
  <c r="BJ4" i="15"/>
  <c r="BJ5" i="15"/>
  <c r="BJ6" i="15"/>
  <c r="BJ7" i="15"/>
  <c r="BJ8" i="15"/>
  <c r="BJ9" i="15"/>
  <c r="BJ10" i="15"/>
  <c r="BJ11" i="15"/>
  <c r="BJ12" i="15"/>
  <c r="BJ13" i="15"/>
  <c r="BJ14" i="15"/>
  <c r="BJ15" i="15"/>
  <c r="BJ16" i="15"/>
  <c r="BJ17" i="15"/>
  <c r="BJ18" i="15"/>
  <c r="BJ19" i="15"/>
  <c r="BJ20" i="15"/>
  <c r="BJ21" i="15"/>
  <c r="BJ22" i="15"/>
  <c r="BJ23" i="15"/>
  <c r="BJ24" i="15"/>
  <c r="BJ25" i="15"/>
  <c r="BJ26" i="15"/>
  <c r="BJ27" i="15"/>
  <c r="BJ28" i="15"/>
  <c r="BJ29" i="15"/>
  <c r="BJ30" i="15"/>
  <c r="BJ31" i="15"/>
  <c r="BJ32" i="15"/>
  <c r="BJ33" i="15"/>
  <c r="BJ34" i="15"/>
  <c r="BJ35" i="15"/>
  <c r="BJ36" i="15"/>
  <c r="BJ37" i="15"/>
  <c r="BJ38" i="15"/>
  <c r="BJ39" i="15"/>
  <c r="BJ40" i="15"/>
  <c r="BJ41" i="15"/>
  <c r="BJ42" i="15"/>
  <c r="BJ43" i="15"/>
  <c r="BJ44" i="15"/>
  <c r="BJ45" i="15"/>
  <c r="BJ46" i="15"/>
  <c r="BJ47" i="15"/>
  <c r="BJ48" i="15"/>
  <c r="BJ49" i="15"/>
  <c r="BJ50" i="15"/>
  <c r="BJ51" i="15"/>
  <c r="BJ52" i="15"/>
  <c r="BJ53" i="15"/>
  <c r="BJ54" i="15"/>
  <c r="BJ55" i="15"/>
  <c r="BJ56" i="15"/>
  <c r="BJ57" i="15"/>
  <c r="BJ58" i="15"/>
  <c r="BJ59" i="15"/>
  <c r="BJ60" i="15"/>
  <c r="BJ61" i="15"/>
  <c r="BJ62" i="15"/>
  <c r="BJ63" i="15"/>
  <c r="BJ64" i="15"/>
  <c r="BJ65" i="15"/>
  <c r="BJ66" i="15"/>
  <c r="BJ67" i="15"/>
  <c r="BJ68" i="15"/>
  <c r="BJ69" i="15"/>
  <c r="BJ70" i="15"/>
  <c r="BJ71" i="15"/>
  <c r="BJ72" i="15"/>
  <c r="BJ73" i="15"/>
  <c r="BJ74" i="15"/>
  <c r="BJ75" i="15"/>
  <c r="BJ76" i="15"/>
  <c r="BJ77" i="15"/>
  <c r="BJ78" i="15"/>
  <c r="BJ79" i="15"/>
  <c r="BJ80" i="15"/>
  <c r="BJ81" i="15"/>
  <c r="BJ82" i="15"/>
  <c r="BJ83" i="15"/>
  <c r="BJ84" i="15"/>
  <c r="BJ85" i="15"/>
  <c r="BJ86" i="15"/>
  <c r="BJ87" i="15"/>
  <c r="BJ88" i="15"/>
  <c r="BJ89" i="15"/>
  <c r="BJ90" i="15"/>
  <c r="BJ91" i="15"/>
  <c r="BI3" i="15"/>
  <c r="BI4" i="15"/>
  <c r="BI5" i="15"/>
  <c r="BI6" i="15"/>
  <c r="BI7" i="15"/>
  <c r="BI8" i="15"/>
  <c r="BI9" i="15"/>
  <c r="BI10" i="15"/>
  <c r="BI11" i="15"/>
  <c r="BI12" i="15"/>
  <c r="BI13" i="15"/>
  <c r="BI14" i="15"/>
  <c r="BI15" i="15"/>
  <c r="BI16" i="15"/>
  <c r="BI17" i="15"/>
  <c r="BI18" i="15"/>
  <c r="BI19" i="15"/>
  <c r="BI20" i="15"/>
  <c r="BI21" i="15"/>
  <c r="BI22" i="15"/>
  <c r="BI23" i="15"/>
  <c r="BI24" i="15"/>
  <c r="BI25" i="15"/>
  <c r="BI26" i="15"/>
  <c r="BI27" i="15"/>
  <c r="BI28" i="15"/>
  <c r="BI29" i="15"/>
  <c r="BI30" i="15"/>
  <c r="BI31" i="15"/>
  <c r="BI32" i="15"/>
  <c r="BI33" i="15"/>
  <c r="BI34" i="15"/>
  <c r="BI35" i="15"/>
  <c r="BI36" i="15"/>
  <c r="BI37" i="15"/>
  <c r="BI38" i="15"/>
  <c r="BI39" i="15"/>
  <c r="BI40" i="15"/>
  <c r="BI41" i="15"/>
  <c r="BI42" i="15"/>
  <c r="BI43" i="15"/>
  <c r="BI44" i="15"/>
  <c r="BI45" i="15"/>
  <c r="BI46" i="15"/>
  <c r="BI47" i="15"/>
  <c r="BI48" i="15"/>
  <c r="BI49" i="15"/>
  <c r="BI50" i="15"/>
  <c r="BI51" i="15"/>
  <c r="BI52" i="15"/>
  <c r="BI53" i="15"/>
  <c r="BI54" i="15"/>
  <c r="BI55" i="15"/>
  <c r="BI56" i="15"/>
  <c r="BI57" i="15"/>
  <c r="BI58" i="15"/>
  <c r="BI59" i="15"/>
  <c r="BI60" i="15"/>
  <c r="BI61" i="15"/>
  <c r="BI62" i="15"/>
  <c r="BI63" i="15"/>
  <c r="BI64" i="15"/>
  <c r="BI65" i="15"/>
  <c r="BI66" i="15"/>
  <c r="BI67" i="15"/>
  <c r="BI68" i="15"/>
  <c r="BI69" i="15"/>
  <c r="BI70" i="15"/>
  <c r="BI71" i="15"/>
  <c r="BI72" i="15"/>
  <c r="BI73" i="15"/>
  <c r="BI74" i="15"/>
  <c r="BI75" i="15"/>
  <c r="BI76" i="15"/>
  <c r="BI77" i="15"/>
  <c r="BI78" i="15"/>
  <c r="BI79" i="15"/>
  <c r="BI80" i="15"/>
  <c r="BI81" i="15"/>
  <c r="BI82" i="15"/>
  <c r="BI83" i="15"/>
  <c r="BI84" i="15"/>
  <c r="BI85" i="15"/>
  <c r="BI86" i="15"/>
  <c r="BI87" i="15"/>
  <c r="BI88" i="15"/>
  <c r="BI89" i="15"/>
  <c r="BI90" i="15"/>
  <c r="BI91" i="15"/>
  <c r="BH3" i="15"/>
  <c r="BH4" i="15"/>
  <c r="BH5" i="15"/>
  <c r="BH6" i="15"/>
  <c r="BH7" i="15"/>
  <c r="BH8" i="15"/>
  <c r="BH9" i="15"/>
  <c r="BH10" i="15"/>
  <c r="BH11" i="15"/>
  <c r="BH12" i="15"/>
  <c r="BH13" i="15"/>
  <c r="BH14" i="15"/>
  <c r="BH15" i="15"/>
  <c r="BH16" i="15"/>
  <c r="BH17" i="15"/>
  <c r="BH18" i="15"/>
  <c r="BH19" i="15"/>
  <c r="BH20" i="15"/>
  <c r="BH21" i="15"/>
  <c r="BH22" i="15"/>
  <c r="BH23" i="15"/>
  <c r="BH24" i="15"/>
  <c r="BH25" i="15"/>
  <c r="BH26" i="15"/>
  <c r="BH27" i="15"/>
  <c r="BH28" i="15"/>
  <c r="BH29" i="15"/>
  <c r="BH30" i="15"/>
  <c r="BH31" i="15"/>
  <c r="BH32" i="15"/>
  <c r="BH33" i="15"/>
  <c r="BH34" i="15"/>
  <c r="BH35" i="15"/>
  <c r="BH36" i="15"/>
  <c r="BH37" i="15"/>
  <c r="BH38" i="15"/>
  <c r="BH39" i="15"/>
  <c r="BH40" i="15"/>
  <c r="BH41" i="15"/>
  <c r="BH42" i="15"/>
  <c r="BH43" i="15"/>
  <c r="BH44" i="15"/>
  <c r="BH45" i="15"/>
  <c r="BH46" i="15"/>
  <c r="BH47" i="15"/>
  <c r="BH48" i="15"/>
  <c r="BH49" i="15"/>
  <c r="BH50" i="15"/>
  <c r="BH51" i="15"/>
  <c r="BH52" i="15"/>
  <c r="BH53" i="15"/>
  <c r="BH54" i="15"/>
  <c r="BH55" i="15"/>
  <c r="BH56" i="15"/>
  <c r="BH57" i="15"/>
  <c r="BH58" i="15"/>
  <c r="BH59" i="15"/>
  <c r="BH60" i="15"/>
  <c r="BH61" i="15"/>
  <c r="BH62" i="15"/>
  <c r="BH63" i="15"/>
  <c r="BH64" i="15"/>
  <c r="BH65" i="15"/>
  <c r="BH66" i="15"/>
  <c r="BH67" i="15"/>
  <c r="BH68" i="15"/>
  <c r="BH69" i="15"/>
  <c r="BH70" i="15"/>
  <c r="BH71" i="15"/>
  <c r="BH72" i="15"/>
  <c r="BH73" i="15"/>
  <c r="BH74" i="15"/>
  <c r="BH75" i="15"/>
  <c r="BH76" i="15"/>
  <c r="BH77" i="15"/>
  <c r="BH78" i="15"/>
  <c r="BH79" i="15"/>
  <c r="BH80" i="15"/>
  <c r="BH81" i="15"/>
  <c r="BH82" i="15"/>
  <c r="BH83" i="15"/>
  <c r="BH84" i="15"/>
  <c r="BH85" i="15"/>
  <c r="BH86" i="15"/>
  <c r="BH87" i="15"/>
  <c r="BH88" i="15"/>
  <c r="BH89" i="15"/>
  <c r="BH90" i="15"/>
  <c r="BH91" i="15"/>
  <c r="BG3" i="15"/>
  <c r="BG4" i="15"/>
  <c r="BG5" i="15"/>
  <c r="BG6" i="15"/>
  <c r="BG7" i="15"/>
  <c r="BG8" i="15"/>
  <c r="BG9" i="15"/>
  <c r="BG10" i="15"/>
  <c r="BG11" i="15"/>
  <c r="BG12" i="15"/>
  <c r="BG13" i="15"/>
  <c r="BG14" i="15"/>
  <c r="BG15" i="15"/>
  <c r="BG16" i="15"/>
  <c r="BG17" i="15"/>
  <c r="BG18" i="15"/>
  <c r="BG19" i="15"/>
  <c r="BG20" i="15"/>
  <c r="BG21" i="15"/>
  <c r="BG22" i="15"/>
  <c r="BG23" i="15"/>
  <c r="BG24" i="15"/>
  <c r="BG25" i="15"/>
  <c r="BG26" i="15"/>
  <c r="BG27" i="15"/>
  <c r="BG28" i="15"/>
  <c r="BG29" i="15"/>
  <c r="BG30" i="15"/>
  <c r="BG31" i="15"/>
  <c r="BG32" i="15"/>
  <c r="BG33" i="15"/>
  <c r="BG34" i="15"/>
  <c r="BG35" i="15"/>
  <c r="BG36" i="15"/>
  <c r="BG37" i="15"/>
  <c r="BG38" i="15"/>
  <c r="BG39" i="15"/>
  <c r="BG40" i="15"/>
  <c r="BG41" i="15"/>
  <c r="BG42" i="15"/>
  <c r="BG43" i="15"/>
  <c r="BG44" i="15"/>
  <c r="BG45" i="15"/>
  <c r="BG46" i="15"/>
  <c r="BG47" i="15"/>
  <c r="BG48" i="15"/>
  <c r="BG49" i="15"/>
  <c r="BG50" i="15"/>
  <c r="BG51" i="15"/>
  <c r="BG52" i="15"/>
  <c r="BG53" i="15"/>
  <c r="BG54" i="15"/>
  <c r="BG55" i="15"/>
  <c r="BG56" i="15"/>
  <c r="BG57" i="15"/>
  <c r="BG58" i="15"/>
  <c r="BG59" i="15"/>
  <c r="BG60" i="15"/>
  <c r="BG61" i="15"/>
  <c r="BG62" i="15"/>
  <c r="BG63" i="15"/>
  <c r="BG64" i="15"/>
  <c r="BG65" i="15"/>
  <c r="BG66" i="15"/>
  <c r="BG67" i="15"/>
  <c r="BG68" i="15"/>
  <c r="BG69" i="15"/>
  <c r="BG70" i="15"/>
  <c r="BG71" i="15"/>
  <c r="BG72" i="15"/>
  <c r="BG73" i="15"/>
  <c r="BG74" i="15"/>
  <c r="BG75" i="15"/>
  <c r="BG76" i="15"/>
  <c r="BG77" i="15"/>
  <c r="BG78" i="15"/>
  <c r="BG79" i="15"/>
  <c r="BG80" i="15"/>
  <c r="BG81" i="15"/>
  <c r="BG82" i="15"/>
  <c r="BG83" i="15"/>
  <c r="BG84" i="15"/>
  <c r="BG85" i="15"/>
  <c r="BG86" i="15"/>
  <c r="BG87" i="15"/>
  <c r="BG88" i="15"/>
  <c r="BG89" i="15"/>
  <c r="BG90" i="15"/>
  <c r="BG91" i="15"/>
  <c r="BC3" i="15"/>
  <c r="BC4" i="15"/>
  <c r="BC5" i="15"/>
  <c r="BC6" i="15"/>
  <c r="BC7" i="15"/>
  <c r="BC8" i="15"/>
  <c r="BC9" i="15"/>
  <c r="BC10" i="15"/>
  <c r="BC11" i="15"/>
  <c r="BC12" i="15"/>
  <c r="BC13" i="15"/>
  <c r="BC14" i="15"/>
  <c r="BC15" i="15"/>
  <c r="BC16" i="15"/>
  <c r="BC17" i="15"/>
  <c r="BC18" i="15"/>
  <c r="BC19" i="15"/>
  <c r="BC20" i="15"/>
  <c r="BC21" i="15"/>
  <c r="BC22" i="15"/>
  <c r="BC23" i="15"/>
  <c r="BC24" i="15"/>
  <c r="BC25" i="15"/>
  <c r="BC26" i="15"/>
  <c r="BC27" i="15"/>
  <c r="BC28" i="15"/>
  <c r="BC29" i="15"/>
  <c r="BC30" i="15"/>
  <c r="BC31" i="15"/>
  <c r="BC32" i="15"/>
  <c r="BC33" i="15"/>
  <c r="BC34" i="15"/>
  <c r="BC35" i="15"/>
  <c r="BC36" i="15"/>
  <c r="BC37" i="15"/>
  <c r="BC38" i="15"/>
  <c r="BC39" i="15"/>
  <c r="BC40" i="15"/>
  <c r="BC41" i="15"/>
  <c r="BC42" i="15"/>
  <c r="BC43" i="15"/>
  <c r="BC44" i="15"/>
  <c r="BC45" i="15"/>
  <c r="BC46" i="15"/>
  <c r="BC47" i="15"/>
  <c r="BC48" i="15"/>
  <c r="BC49" i="15"/>
  <c r="BC50" i="15"/>
  <c r="BC51" i="15"/>
  <c r="BC52" i="15"/>
  <c r="BC53" i="15"/>
  <c r="BC54" i="15"/>
  <c r="BC55" i="15"/>
  <c r="BC56" i="15"/>
  <c r="BC57" i="15"/>
  <c r="BC58" i="15"/>
  <c r="BC59" i="15"/>
  <c r="BC60" i="15"/>
  <c r="BC61" i="15"/>
  <c r="BC62" i="15"/>
  <c r="BC63" i="15"/>
  <c r="BC64" i="15"/>
  <c r="BC65" i="15"/>
  <c r="BC66" i="15"/>
  <c r="BC67" i="15"/>
  <c r="BC68" i="15"/>
  <c r="BC69" i="15"/>
  <c r="BC70" i="15"/>
  <c r="BC71" i="15"/>
  <c r="BC72" i="15"/>
  <c r="BC73" i="15"/>
  <c r="BC74" i="15"/>
  <c r="BC75" i="15"/>
  <c r="BC76" i="15"/>
  <c r="BC77" i="15"/>
  <c r="BC78" i="15"/>
  <c r="BC79" i="15"/>
  <c r="BC80" i="15"/>
  <c r="BC81" i="15"/>
  <c r="BC82" i="15"/>
  <c r="BC83" i="15"/>
  <c r="BC84" i="15"/>
  <c r="BC85" i="15"/>
  <c r="BC86" i="15"/>
  <c r="BC87" i="15"/>
  <c r="BC88" i="15"/>
  <c r="BC89" i="15"/>
  <c r="BC90" i="15"/>
  <c r="BC91" i="15"/>
  <c r="BB3" i="15"/>
  <c r="BB4" i="15"/>
  <c r="BB5" i="15"/>
  <c r="BB6" i="15"/>
  <c r="BB7" i="15"/>
  <c r="BB8" i="15"/>
  <c r="BB9" i="15"/>
  <c r="BB10" i="15"/>
  <c r="BB11" i="15"/>
  <c r="BB12" i="15"/>
  <c r="BB13" i="15"/>
  <c r="BB14" i="15"/>
  <c r="BB15" i="15"/>
  <c r="BB16" i="15"/>
  <c r="BB17" i="15"/>
  <c r="BB18" i="15"/>
  <c r="BB19" i="15"/>
  <c r="BB20" i="15"/>
  <c r="BB21" i="15"/>
  <c r="BB22" i="15"/>
  <c r="BB23" i="15"/>
  <c r="BB24" i="15"/>
  <c r="BB25" i="15"/>
  <c r="BB26" i="15"/>
  <c r="BB27" i="15"/>
  <c r="BB28" i="15"/>
  <c r="BB29" i="15"/>
  <c r="BB30" i="15"/>
  <c r="BB31" i="15"/>
  <c r="BB32" i="15"/>
  <c r="BB33" i="15"/>
  <c r="BB34" i="15"/>
  <c r="BB35" i="15"/>
  <c r="BB36" i="15"/>
  <c r="BB37" i="15"/>
  <c r="BB38" i="15"/>
  <c r="BB39" i="15"/>
  <c r="BB40" i="15"/>
  <c r="BB41" i="15"/>
  <c r="BB42" i="15"/>
  <c r="BB43" i="15"/>
  <c r="BB44" i="15"/>
  <c r="BB45" i="15"/>
  <c r="BB46" i="15"/>
  <c r="BB47" i="15"/>
  <c r="BB48" i="15"/>
  <c r="BB49" i="15"/>
  <c r="BB50" i="15"/>
  <c r="BB51" i="15"/>
  <c r="BB52" i="15"/>
  <c r="BB53" i="15"/>
  <c r="BB54" i="15"/>
  <c r="BB55" i="15"/>
  <c r="BB56" i="15"/>
  <c r="BB57" i="15"/>
  <c r="BB58" i="15"/>
  <c r="BB59" i="15"/>
  <c r="BB60" i="15"/>
  <c r="BB61" i="15"/>
  <c r="BB62" i="15"/>
  <c r="BB63" i="15"/>
  <c r="BB64" i="15"/>
  <c r="BB65" i="15"/>
  <c r="BB66" i="15"/>
  <c r="BB67" i="15"/>
  <c r="BB68" i="15"/>
  <c r="BB69" i="15"/>
  <c r="BB70" i="15"/>
  <c r="BB71" i="15"/>
  <c r="BB72" i="15"/>
  <c r="BB73" i="15"/>
  <c r="BB74" i="15"/>
  <c r="BB75" i="15"/>
  <c r="BB76" i="15"/>
  <c r="BB77" i="15"/>
  <c r="BB78" i="15"/>
  <c r="BB79" i="15"/>
  <c r="BB80" i="15"/>
  <c r="BB81" i="15"/>
  <c r="BB82" i="15"/>
  <c r="BB83" i="15"/>
  <c r="BB84" i="15"/>
  <c r="BB85" i="15"/>
  <c r="BB86" i="15"/>
  <c r="BB87" i="15"/>
  <c r="BB88" i="15"/>
  <c r="BB89" i="15"/>
  <c r="BB90" i="15"/>
  <c r="BB91" i="15"/>
  <c r="BA3" i="15"/>
  <c r="BA4" i="15"/>
  <c r="BA5" i="15"/>
  <c r="BA6" i="15"/>
  <c r="BA7" i="15"/>
  <c r="BA8" i="15"/>
  <c r="BA9" i="15"/>
  <c r="BA10" i="15"/>
  <c r="BA11" i="15"/>
  <c r="BA12" i="15"/>
  <c r="BA13" i="15"/>
  <c r="BA14" i="15"/>
  <c r="BA15" i="15"/>
  <c r="BA16" i="15"/>
  <c r="BA17" i="15"/>
  <c r="BA18" i="15"/>
  <c r="BA19" i="15"/>
  <c r="BA20" i="15"/>
  <c r="BA21" i="15"/>
  <c r="BA22" i="15"/>
  <c r="BA23" i="15"/>
  <c r="BA24" i="15"/>
  <c r="BA25" i="15"/>
  <c r="BA26" i="15"/>
  <c r="BA27" i="15"/>
  <c r="BA28" i="15"/>
  <c r="BA29" i="15"/>
  <c r="BA30" i="15"/>
  <c r="BA31" i="15"/>
  <c r="BA32" i="15"/>
  <c r="BA33" i="15"/>
  <c r="BA34" i="15"/>
  <c r="BA35" i="15"/>
  <c r="BA36" i="15"/>
  <c r="BA37" i="15"/>
  <c r="BA38" i="15"/>
  <c r="BA39" i="15"/>
  <c r="BA40" i="15"/>
  <c r="BA41" i="15"/>
  <c r="BA42" i="15"/>
  <c r="BA43" i="15"/>
  <c r="BA44" i="15"/>
  <c r="BA45" i="15"/>
  <c r="BA46" i="15"/>
  <c r="BA47" i="15"/>
  <c r="BA48" i="15"/>
  <c r="BA49" i="15"/>
  <c r="BA50" i="15"/>
  <c r="BA51" i="15"/>
  <c r="BA52" i="15"/>
  <c r="BA53" i="15"/>
  <c r="BA54" i="15"/>
  <c r="BA55" i="15"/>
  <c r="BA56" i="15"/>
  <c r="BA57" i="15"/>
  <c r="BA58" i="15"/>
  <c r="BA59" i="15"/>
  <c r="BA60" i="15"/>
  <c r="BA61" i="15"/>
  <c r="BA62" i="15"/>
  <c r="BA63" i="15"/>
  <c r="BA64" i="15"/>
  <c r="BA65" i="15"/>
  <c r="BA66" i="15"/>
  <c r="BA67" i="15"/>
  <c r="BA68" i="15"/>
  <c r="BA69" i="15"/>
  <c r="BA70" i="15"/>
  <c r="BA71" i="15"/>
  <c r="BA72" i="15"/>
  <c r="BA73" i="15"/>
  <c r="BA74" i="15"/>
  <c r="BA75" i="15"/>
  <c r="BA76" i="15"/>
  <c r="BA77" i="15"/>
  <c r="BA78" i="15"/>
  <c r="BA79" i="15"/>
  <c r="BA80" i="15"/>
  <c r="BA81" i="15"/>
  <c r="BA82" i="15"/>
  <c r="BA83" i="15"/>
  <c r="BA84" i="15"/>
  <c r="BA85" i="15"/>
  <c r="BA86" i="15"/>
  <c r="BA87" i="15"/>
  <c r="BA88" i="15"/>
  <c r="BA89" i="15"/>
  <c r="BA90" i="15"/>
  <c r="BA91" i="15"/>
  <c r="AZ70" i="15"/>
  <c r="AZ71" i="15"/>
  <c r="AZ72" i="15"/>
  <c r="AZ73" i="15"/>
  <c r="AZ74" i="15"/>
  <c r="AZ75" i="15"/>
  <c r="AZ76" i="15"/>
  <c r="AX3" i="15"/>
  <c r="AX4" i="15"/>
  <c r="AX5" i="15"/>
  <c r="AX6" i="15"/>
  <c r="AX7" i="15"/>
  <c r="AX8" i="15"/>
  <c r="AX9" i="15"/>
  <c r="AX10" i="15"/>
  <c r="AX11" i="15"/>
  <c r="AX12" i="15"/>
  <c r="AX13" i="15"/>
  <c r="AX14" i="15"/>
  <c r="AX15" i="15"/>
  <c r="AX16" i="15"/>
  <c r="AX17" i="15"/>
  <c r="AX18" i="15"/>
  <c r="AX19" i="15"/>
  <c r="AX20" i="15"/>
  <c r="AX21" i="15"/>
  <c r="AX22" i="15"/>
  <c r="AX23" i="15"/>
  <c r="AX24" i="15"/>
  <c r="AX25" i="15"/>
  <c r="AX26" i="15"/>
  <c r="AX27" i="15"/>
  <c r="AX28" i="15"/>
  <c r="AX29" i="15"/>
  <c r="AX30" i="15"/>
  <c r="AX31" i="15"/>
  <c r="AX32" i="15"/>
  <c r="AX33" i="15"/>
  <c r="AX34" i="15"/>
  <c r="AX35" i="15"/>
  <c r="AX36" i="15"/>
  <c r="AX37" i="15"/>
  <c r="AX38" i="15"/>
  <c r="AX39" i="15"/>
  <c r="AX40" i="15"/>
  <c r="AX41" i="15"/>
  <c r="AX42" i="15"/>
  <c r="AX43" i="15"/>
  <c r="AX44" i="15"/>
  <c r="AX45" i="15"/>
  <c r="AX46" i="15"/>
  <c r="AX47" i="15"/>
  <c r="AX48" i="15"/>
  <c r="AX49" i="15"/>
  <c r="AX50" i="15"/>
  <c r="AX51" i="15"/>
  <c r="AX52" i="15"/>
  <c r="AX53" i="15"/>
  <c r="AX54" i="15"/>
  <c r="AX55" i="15"/>
  <c r="AX56" i="15"/>
  <c r="AX57" i="15"/>
  <c r="AX58" i="15"/>
  <c r="AX59" i="15"/>
  <c r="AX60" i="15"/>
  <c r="AX61" i="15"/>
  <c r="AX62" i="15"/>
  <c r="AX63" i="15"/>
  <c r="AX64" i="15"/>
  <c r="AX65" i="15"/>
  <c r="AX66" i="15"/>
  <c r="AX67" i="15"/>
  <c r="AX68" i="15"/>
  <c r="AX69" i="15"/>
  <c r="AX70" i="15"/>
  <c r="AX71" i="15"/>
  <c r="AX72" i="15"/>
  <c r="AX73" i="15"/>
  <c r="AX74" i="15"/>
  <c r="AX75" i="15"/>
  <c r="AX76" i="15"/>
  <c r="AX77" i="15"/>
  <c r="AX78" i="15"/>
  <c r="AX79" i="15"/>
  <c r="AX80" i="15"/>
  <c r="AX81" i="15"/>
  <c r="AX82" i="15"/>
  <c r="AX83" i="15"/>
  <c r="AX84" i="15"/>
  <c r="AX85" i="15"/>
  <c r="AX86" i="15"/>
  <c r="AX87" i="15"/>
  <c r="AX88" i="15"/>
  <c r="AX89" i="15"/>
  <c r="AX90" i="15"/>
  <c r="AX91" i="15"/>
  <c r="AW3" i="15"/>
  <c r="AW4" i="15"/>
  <c r="AW5" i="15"/>
  <c r="AW6" i="15"/>
  <c r="AW7" i="15"/>
  <c r="AW8" i="15"/>
  <c r="AW9" i="15"/>
  <c r="AW10" i="15"/>
  <c r="AW11" i="15"/>
  <c r="AW12" i="15"/>
  <c r="AW13" i="15"/>
  <c r="AW14" i="15"/>
  <c r="AW15" i="15"/>
  <c r="AW16" i="15"/>
  <c r="AW17" i="15"/>
  <c r="AW18" i="15"/>
  <c r="AW19" i="15"/>
  <c r="AW20" i="15"/>
  <c r="AW21" i="15"/>
  <c r="AW22" i="15"/>
  <c r="AW23" i="15"/>
  <c r="AW24" i="15"/>
  <c r="AW25" i="15"/>
  <c r="AW26" i="15"/>
  <c r="AW27" i="15"/>
  <c r="AW28" i="15"/>
  <c r="AW29" i="15"/>
  <c r="AW30" i="15"/>
  <c r="AW31" i="15"/>
  <c r="AW32" i="15"/>
  <c r="AW33" i="15"/>
  <c r="AW34" i="15"/>
  <c r="AW35" i="15"/>
  <c r="AW36" i="15"/>
  <c r="AW37" i="15"/>
  <c r="AW38" i="15"/>
  <c r="AW39" i="15"/>
  <c r="AW40" i="15"/>
  <c r="AW41" i="15"/>
  <c r="AW42" i="15"/>
  <c r="AW43" i="15"/>
  <c r="AW44" i="15"/>
  <c r="AW45" i="15"/>
  <c r="AW46" i="15"/>
  <c r="AW47" i="15"/>
  <c r="AW48" i="15"/>
  <c r="AW49" i="15"/>
  <c r="AW50" i="15"/>
  <c r="AW51" i="15"/>
  <c r="AW52" i="15"/>
  <c r="AW53" i="15"/>
  <c r="AW54" i="15"/>
  <c r="AW55" i="15"/>
  <c r="AW56" i="15"/>
  <c r="AW57" i="15"/>
  <c r="AW58" i="15"/>
  <c r="AW59" i="15"/>
  <c r="AW60" i="15"/>
  <c r="AW61" i="15"/>
  <c r="AW62" i="15"/>
  <c r="AW63" i="15"/>
  <c r="AW64" i="15"/>
  <c r="AW65" i="15"/>
  <c r="AW66" i="15"/>
  <c r="AW67" i="15"/>
  <c r="AW68" i="15"/>
  <c r="AW69" i="15"/>
  <c r="AW70" i="15"/>
  <c r="AW71" i="15"/>
  <c r="AW72" i="15"/>
  <c r="AW73" i="15"/>
  <c r="AW74" i="15"/>
  <c r="AW75" i="15"/>
  <c r="AW76" i="15"/>
  <c r="AW77" i="15"/>
  <c r="AW78" i="15"/>
  <c r="AW79" i="15"/>
  <c r="AW80" i="15"/>
  <c r="AW81" i="15"/>
  <c r="AW82" i="15"/>
  <c r="AW83" i="15"/>
  <c r="AW84" i="15"/>
  <c r="AW85" i="15"/>
  <c r="AW86" i="15"/>
  <c r="AW87" i="15"/>
  <c r="AW88" i="15"/>
  <c r="AW89" i="15"/>
  <c r="AW90" i="15"/>
  <c r="AW91" i="15"/>
  <c r="AV3" i="15"/>
  <c r="AV4" i="15"/>
  <c r="AV5" i="15"/>
  <c r="AV6" i="15"/>
  <c r="AV7" i="15"/>
  <c r="AV8" i="15"/>
  <c r="AV9" i="15"/>
  <c r="AV10" i="15"/>
  <c r="AV11" i="15"/>
  <c r="AV12" i="15"/>
  <c r="AV13" i="15"/>
  <c r="AV14" i="15"/>
  <c r="AV15" i="15"/>
  <c r="AV16" i="15"/>
  <c r="AV17" i="15"/>
  <c r="AV18" i="15"/>
  <c r="AV19" i="15"/>
  <c r="AV20" i="15"/>
  <c r="AV21" i="15"/>
  <c r="AV22" i="15"/>
  <c r="AV23" i="15"/>
  <c r="AV24" i="15"/>
  <c r="AV25" i="15"/>
  <c r="AV26" i="15"/>
  <c r="AV27" i="15"/>
  <c r="AV28" i="15"/>
  <c r="AV29" i="15"/>
  <c r="AV30" i="15"/>
  <c r="AV31" i="15"/>
  <c r="AV32" i="15"/>
  <c r="AV33" i="15"/>
  <c r="AV34" i="15"/>
  <c r="AV35" i="15"/>
  <c r="AV36" i="15"/>
  <c r="AV37" i="15"/>
  <c r="AV38" i="15"/>
  <c r="AV39" i="15"/>
  <c r="AV40" i="15"/>
  <c r="AV41" i="15"/>
  <c r="AV42" i="15"/>
  <c r="AV43" i="15"/>
  <c r="AV44" i="15"/>
  <c r="AV45" i="15"/>
  <c r="AV46" i="15"/>
  <c r="AV47" i="15"/>
  <c r="AV48" i="15"/>
  <c r="AV49" i="15"/>
  <c r="AV50" i="15"/>
  <c r="AV51" i="15"/>
  <c r="AV52" i="15"/>
  <c r="AV53" i="15"/>
  <c r="AV54" i="15"/>
  <c r="AV55" i="15"/>
  <c r="AV56" i="15"/>
  <c r="AV57" i="15"/>
  <c r="AV58" i="15"/>
  <c r="AV59" i="15"/>
  <c r="AV60" i="15"/>
  <c r="AV61" i="15"/>
  <c r="AV62" i="15"/>
  <c r="AV63" i="15"/>
  <c r="AV64" i="15"/>
  <c r="AV65" i="15"/>
  <c r="AV66" i="15"/>
  <c r="AV67" i="15"/>
  <c r="AV68" i="15"/>
  <c r="AV69" i="15"/>
  <c r="AV70" i="15"/>
  <c r="AV71" i="15"/>
  <c r="AV72" i="15"/>
  <c r="AV73" i="15"/>
  <c r="AV74" i="15"/>
  <c r="AV75" i="15"/>
  <c r="AV76" i="15"/>
  <c r="AV77" i="15"/>
  <c r="AV78" i="15"/>
  <c r="AV79" i="15"/>
  <c r="AV80" i="15"/>
  <c r="AV81" i="15"/>
  <c r="AV82" i="15"/>
  <c r="AV83" i="15"/>
  <c r="AV84" i="15"/>
  <c r="AV85" i="15"/>
  <c r="AV86" i="15"/>
  <c r="AV87" i="15"/>
  <c r="AV88" i="15"/>
  <c r="AV89" i="15"/>
  <c r="AV90" i="15"/>
  <c r="AV91" i="15"/>
  <c r="AU4" i="15"/>
  <c r="AU5" i="15"/>
  <c r="AU6" i="15"/>
  <c r="AU7" i="15"/>
  <c r="AU8" i="15"/>
  <c r="AU9" i="15"/>
  <c r="AU10" i="15"/>
  <c r="AU11" i="15"/>
  <c r="AU12" i="15"/>
  <c r="AU13" i="15"/>
  <c r="AU14" i="15"/>
  <c r="AU15" i="15"/>
  <c r="AU16" i="15"/>
  <c r="AU17" i="15"/>
  <c r="AU18" i="15"/>
  <c r="AU19" i="15"/>
  <c r="AU20" i="15"/>
  <c r="AU21" i="15"/>
  <c r="AU22" i="15"/>
  <c r="AU23" i="15"/>
  <c r="AU24" i="15"/>
  <c r="AU25" i="15"/>
  <c r="AU26" i="15"/>
  <c r="AU27" i="15"/>
  <c r="AU28" i="15"/>
  <c r="AU29" i="15"/>
  <c r="AU30" i="15"/>
  <c r="AU31" i="15"/>
  <c r="AU32" i="15"/>
  <c r="AU33" i="15"/>
  <c r="AU34" i="15"/>
  <c r="AU35" i="15"/>
  <c r="AU36" i="15"/>
  <c r="AU37" i="15"/>
  <c r="AU38" i="15"/>
  <c r="AU39" i="15"/>
  <c r="AU40" i="15"/>
  <c r="AU41" i="15"/>
  <c r="AU42" i="15"/>
  <c r="AU43" i="15"/>
  <c r="AU44" i="15"/>
  <c r="AU45" i="15"/>
  <c r="AU46" i="15"/>
  <c r="AU47" i="15"/>
  <c r="AU48" i="15"/>
  <c r="AU49" i="15"/>
  <c r="AU50" i="15"/>
  <c r="AU51" i="15"/>
  <c r="AU52" i="15"/>
  <c r="AU53" i="15"/>
  <c r="AU54" i="15"/>
  <c r="AU55" i="15"/>
  <c r="AU56" i="15"/>
  <c r="AU57" i="15"/>
  <c r="AU58" i="15"/>
  <c r="AU59" i="15"/>
  <c r="AU60" i="15"/>
  <c r="AU61" i="15"/>
  <c r="AU62" i="15"/>
  <c r="AU63" i="15"/>
  <c r="AU64" i="15"/>
  <c r="AU65" i="15"/>
  <c r="AU66" i="15"/>
  <c r="AU67" i="15"/>
  <c r="AU68" i="15"/>
  <c r="AU69" i="15"/>
  <c r="AU70" i="15"/>
  <c r="AU71" i="15"/>
  <c r="AU72" i="15"/>
  <c r="AU73" i="15"/>
  <c r="AU74" i="15"/>
  <c r="AU75" i="15"/>
  <c r="AU76" i="15"/>
  <c r="AU77" i="15"/>
  <c r="AU78" i="15"/>
  <c r="AU79" i="15"/>
  <c r="AU80" i="15"/>
  <c r="AU81" i="15"/>
  <c r="AU82" i="15"/>
  <c r="AU83" i="15"/>
  <c r="AU84" i="15"/>
  <c r="AU85" i="15"/>
  <c r="AU86" i="15"/>
  <c r="AU87" i="15"/>
  <c r="AU88" i="15"/>
  <c r="AU89" i="15"/>
  <c r="AU90" i="15"/>
  <c r="AU91" i="15"/>
  <c r="AR3" i="15"/>
  <c r="AR4" i="15"/>
  <c r="AR5" i="15"/>
  <c r="AR6" i="15"/>
  <c r="AR7" i="15"/>
  <c r="AR8" i="15"/>
  <c r="AR9" i="15"/>
  <c r="AR10" i="15"/>
  <c r="AR11" i="15"/>
  <c r="AR12" i="15"/>
  <c r="AR13" i="15"/>
  <c r="AR14" i="15"/>
  <c r="AR15" i="15"/>
  <c r="AR16" i="15"/>
  <c r="AR17" i="15"/>
  <c r="AR18" i="15"/>
  <c r="AR19" i="15"/>
  <c r="AR20" i="15"/>
  <c r="AR21" i="15"/>
  <c r="AR22" i="15"/>
  <c r="AR23" i="15"/>
  <c r="AR24" i="15"/>
  <c r="AR25" i="15"/>
  <c r="AR26" i="15"/>
  <c r="AR27" i="15"/>
  <c r="AR28" i="15"/>
  <c r="AR29" i="15"/>
  <c r="AR30" i="15"/>
  <c r="AR31" i="15"/>
  <c r="AR32" i="15"/>
  <c r="AR33" i="15"/>
  <c r="AR34" i="15"/>
  <c r="AR35" i="15"/>
  <c r="AR36" i="15"/>
  <c r="AR37" i="15"/>
  <c r="AR38" i="15"/>
  <c r="AR39" i="15"/>
  <c r="AR40" i="15"/>
  <c r="AR41" i="15"/>
  <c r="AR42" i="15"/>
  <c r="AR43" i="15"/>
  <c r="AR44" i="15"/>
  <c r="AR45" i="15"/>
  <c r="AR46" i="15"/>
  <c r="AR47" i="15"/>
  <c r="AR48" i="15"/>
  <c r="AR49" i="15"/>
  <c r="AR50" i="15"/>
  <c r="AR51" i="15"/>
  <c r="AR52" i="15"/>
  <c r="AR53" i="15"/>
  <c r="AR54" i="15"/>
  <c r="AR55" i="15"/>
  <c r="AR56" i="15"/>
  <c r="AR57" i="15"/>
  <c r="AR58" i="15"/>
  <c r="AR59" i="15"/>
  <c r="AR60" i="15"/>
  <c r="AR61" i="15"/>
  <c r="AR62" i="15"/>
  <c r="AR63" i="15"/>
  <c r="AR64" i="15"/>
  <c r="AR65" i="15"/>
  <c r="AR66" i="15"/>
  <c r="AR67" i="15"/>
  <c r="AR68" i="15"/>
  <c r="AR69" i="15"/>
  <c r="AR70" i="15"/>
  <c r="AR71" i="15"/>
  <c r="AR72" i="15"/>
  <c r="AR73" i="15"/>
  <c r="AR74" i="15"/>
  <c r="AR75" i="15"/>
  <c r="AR76" i="15"/>
  <c r="AR77" i="15"/>
  <c r="AR78" i="15"/>
  <c r="AR79" i="15"/>
  <c r="AR80" i="15"/>
  <c r="AR81" i="15"/>
  <c r="AR82" i="15"/>
  <c r="AR83" i="15"/>
  <c r="AR84" i="15"/>
  <c r="AR85" i="15"/>
  <c r="AR86" i="15"/>
  <c r="AR87" i="15"/>
  <c r="AR88" i="15"/>
  <c r="AR89" i="15"/>
  <c r="AR90" i="15"/>
  <c r="AR91" i="15"/>
  <c r="P3" i="13"/>
  <c r="B3" i="3" s="1"/>
  <c r="P4" i="13"/>
  <c r="B4" i="3" s="1"/>
  <c r="P5" i="13"/>
  <c r="B5" i="3" s="1"/>
  <c r="P6" i="13"/>
  <c r="P7" i="13"/>
  <c r="B7" i="3" s="1"/>
  <c r="P8" i="13"/>
  <c r="B8" i="3" s="1"/>
  <c r="P9" i="13"/>
  <c r="B9" i="3" s="1"/>
  <c r="P10" i="13"/>
  <c r="B10" i="3" s="1"/>
  <c r="P11" i="13"/>
  <c r="B11" i="3" s="1"/>
  <c r="P12" i="13"/>
  <c r="B12" i="3" s="1"/>
  <c r="P13" i="13"/>
  <c r="B13" i="3" s="1"/>
  <c r="P14" i="13"/>
  <c r="B14" i="3" s="1"/>
  <c r="P15" i="13"/>
  <c r="B15" i="3" s="1"/>
  <c r="P16" i="13"/>
  <c r="B16" i="3" s="1"/>
  <c r="P17" i="13"/>
  <c r="B17" i="3" s="1"/>
  <c r="P18" i="13"/>
  <c r="P19" i="13"/>
  <c r="P20" i="13"/>
  <c r="P21" i="13"/>
  <c r="B21" i="3" s="1"/>
  <c r="P22" i="13"/>
  <c r="P23" i="13"/>
  <c r="P24" i="13"/>
  <c r="B24" i="3" s="1"/>
  <c r="P25" i="13"/>
  <c r="B25" i="3" s="1"/>
  <c r="P26" i="13"/>
  <c r="P27" i="13"/>
  <c r="P28" i="13"/>
  <c r="P29" i="13"/>
  <c r="B29" i="3" s="1"/>
  <c r="P30" i="13"/>
  <c r="P31" i="13"/>
  <c r="P32" i="13"/>
  <c r="B32" i="3" s="1"/>
  <c r="P33" i="13"/>
  <c r="AO3" i="15"/>
  <c r="AO4" i="15"/>
  <c r="AO5" i="15"/>
  <c r="AO6" i="15"/>
  <c r="AO7" i="15"/>
  <c r="AO8" i="15"/>
  <c r="AO9" i="15"/>
  <c r="AO10" i="15"/>
  <c r="AO11" i="15"/>
  <c r="AO12" i="15"/>
  <c r="AO13" i="15"/>
  <c r="AO14" i="15"/>
  <c r="AO15" i="15"/>
  <c r="AO16" i="15"/>
  <c r="AO17" i="15"/>
  <c r="AO18" i="15"/>
  <c r="AO19" i="15"/>
  <c r="AO20" i="15"/>
  <c r="AO21" i="15"/>
  <c r="AO22" i="15"/>
  <c r="AO23" i="15"/>
  <c r="AO24" i="15"/>
  <c r="AO25" i="15"/>
  <c r="AO26" i="15"/>
  <c r="AO27" i="15"/>
  <c r="AO28" i="15"/>
  <c r="AO29" i="15"/>
  <c r="AO30" i="15"/>
  <c r="AO31" i="15"/>
  <c r="AO32" i="15"/>
  <c r="AO33" i="15"/>
  <c r="AO34" i="15"/>
  <c r="AO35" i="15"/>
  <c r="AO36" i="15"/>
  <c r="AO37" i="15"/>
  <c r="AO38" i="15"/>
  <c r="AO39" i="15"/>
  <c r="AO40" i="15"/>
  <c r="AO41" i="15"/>
  <c r="AO42" i="15"/>
  <c r="AO43" i="15"/>
  <c r="AO44" i="15"/>
  <c r="AO45" i="15"/>
  <c r="AO46" i="15"/>
  <c r="AO47" i="15"/>
  <c r="AO48" i="15"/>
  <c r="AO49" i="15"/>
  <c r="AO50" i="15"/>
  <c r="AO51" i="15"/>
  <c r="AO52" i="15"/>
  <c r="AO53" i="15"/>
  <c r="AO54" i="15"/>
  <c r="AO55" i="15"/>
  <c r="AO56" i="15"/>
  <c r="AO57" i="15"/>
  <c r="AO58" i="15"/>
  <c r="AO59" i="15"/>
  <c r="AO60" i="15"/>
  <c r="AO61" i="15"/>
  <c r="AO62" i="15"/>
  <c r="AO63" i="15"/>
  <c r="AO64" i="15"/>
  <c r="AO65" i="15"/>
  <c r="AO66" i="15"/>
  <c r="AO67" i="15"/>
  <c r="AO68" i="15"/>
  <c r="AO69" i="15"/>
  <c r="AO70" i="15"/>
  <c r="AO71" i="15"/>
  <c r="AO72" i="15"/>
  <c r="AO73" i="15"/>
  <c r="AO74" i="15"/>
  <c r="AO75" i="15"/>
  <c r="AO76" i="15"/>
  <c r="AO77" i="15"/>
  <c r="AO78" i="15"/>
  <c r="AO79" i="15"/>
  <c r="AO80" i="15"/>
  <c r="AO81" i="15"/>
  <c r="AO82" i="15"/>
  <c r="AO83" i="15"/>
  <c r="AO84" i="15"/>
  <c r="AO85" i="15"/>
  <c r="AO86" i="15"/>
  <c r="AO87" i="15"/>
  <c r="AO88" i="15"/>
  <c r="AO89" i="15"/>
  <c r="AO90" i="15"/>
  <c r="AO91" i="15"/>
  <c r="AN3" i="15"/>
  <c r="AN4" i="15"/>
  <c r="AN5" i="15"/>
  <c r="AN6" i="15"/>
  <c r="AN7" i="15"/>
  <c r="AN8" i="15"/>
  <c r="AN9" i="15"/>
  <c r="AN10" i="15"/>
  <c r="AN11" i="15"/>
  <c r="AN12" i="15"/>
  <c r="AN13" i="15"/>
  <c r="AN14" i="15"/>
  <c r="AN15" i="15"/>
  <c r="AN16" i="15"/>
  <c r="AN17" i="15"/>
  <c r="AN18" i="15"/>
  <c r="AN19" i="15"/>
  <c r="AN20" i="15"/>
  <c r="AN21" i="15"/>
  <c r="AN22" i="15"/>
  <c r="AN23" i="15"/>
  <c r="AN24" i="15"/>
  <c r="AN25" i="15"/>
  <c r="AN26" i="15"/>
  <c r="AN27" i="15"/>
  <c r="AN28" i="15"/>
  <c r="AN29" i="15"/>
  <c r="AN30" i="15"/>
  <c r="AN31" i="15"/>
  <c r="AN32" i="15"/>
  <c r="AN33" i="15"/>
  <c r="AN34" i="15"/>
  <c r="AN35" i="15"/>
  <c r="AN36" i="15"/>
  <c r="AN37" i="15"/>
  <c r="AN38" i="15"/>
  <c r="AN39" i="15"/>
  <c r="AN40" i="15"/>
  <c r="AN41" i="15"/>
  <c r="AN42" i="15"/>
  <c r="AN43" i="15"/>
  <c r="AN44" i="15"/>
  <c r="AN45" i="15"/>
  <c r="AN46" i="15"/>
  <c r="AN47" i="15"/>
  <c r="AN48" i="15"/>
  <c r="AN49" i="15"/>
  <c r="AN50" i="15"/>
  <c r="AN51" i="15"/>
  <c r="AN52" i="15"/>
  <c r="AN53" i="15"/>
  <c r="AN54" i="15"/>
  <c r="AN55" i="15"/>
  <c r="AN56" i="15"/>
  <c r="AN57" i="15"/>
  <c r="AN58" i="15"/>
  <c r="AN59" i="15"/>
  <c r="AN60" i="15"/>
  <c r="AN61" i="15"/>
  <c r="AN62" i="15"/>
  <c r="AN63" i="15"/>
  <c r="AN64" i="15"/>
  <c r="AN65" i="15"/>
  <c r="AN66" i="15"/>
  <c r="AN67" i="15"/>
  <c r="AN68" i="15"/>
  <c r="AN69" i="15"/>
  <c r="AN70" i="15"/>
  <c r="AN71" i="15"/>
  <c r="AN72" i="15"/>
  <c r="AN73" i="15"/>
  <c r="AN74" i="15"/>
  <c r="AN75" i="15"/>
  <c r="AN76" i="15"/>
  <c r="AN77" i="15"/>
  <c r="AN78" i="15"/>
  <c r="AN79" i="15"/>
  <c r="AN80" i="15"/>
  <c r="AN81" i="15"/>
  <c r="AN82" i="15"/>
  <c r="AN83" i="15"/>
  <c r="AN84" i="15"/>
  <c r="AN85" i="15"/>
  <c r="AN86" i="15"/>
  <c r="AN87" i="15"/>
  <c r="AN88" i="15"/>
  <c r="AN89" i="15"/>
  <c r="AN90" i="15"/>
  <c r="AN91" i="15"/>
  <c r="AM3" i="15"/>
  <c r="AM4" i="15"/>
  <c r="AM5" i="15"/>
  <c r="AM6" i="15"/>
  <c r="AM7" i="15"/>
  <c r="AM8" i="15"/>
  <c r="AM9" i="15"/>
  <c r="AM10" i="15"/>
  <c r="AM11" i="15"/>
  <c r="AM12" i="15"/>
  <c r="AM13" i="15"/>
  <c r="AM14" i="15"/>
  <c r="AM15" i="15"/>
  <c r="AM16" i="15"/>
  <c r="AM17" i="15"/>
  <c r="AM18" i="15"/>
  <c r="AM19" i="15"/>
  <c r="AM20" i="15"/>
  <c r="AM21" i="15"/>
  <c r="AM22" i="15"/>
  <c r="AM23" i="15"/>
  <c r="AM24" i="15"/>
  <c r="AM25" i="15"/>
  <c r="AM26" i="15"/>
  <c r="AM27" i="15"/>
  <c r="AM28" i="15"/>
  <c r="AM29" i="15"/>
  <c r="AM30" i="15"/>
  <c r="AM31" i="15"/>
  <c r="AM32" i="15"/>
  <c r="AM33" i="15"/>
  <c r="AM34" i="15"/>
  <c r="AM35" i="15"/>
  <c r="AM36" i="15"/>
  <c r="AM37" i="15"/>
  <c r="AM38" i="15"/>
  <c r="AM39" i="15"/>
  <c r="AM40" i="15"/>
  <c r="AM41" i="15"/>
  <c r="AM42" i="15"/>
  <c r="AM43" i="15"/>
  <c r="AM44" i="15"/>
  <c r="AM45" i="15"/>
  <c r="AM46" i="15"/>
  <c r="AM47" i="15"/>
  <c r="AM48" i="15"/>
  <c r="AM49" i="15"/>
  <c r="AM50" i="15"/>
  <c r="AM51" i="15"/>
  <c r="AM52" i="15"/>
  <c r="AM53" i="15"/>
  <c r="AM54" i="15"/>
  <c r="AM55" i="15"/>
  <c r="AM56" i="15"/>
  <c r="AM57" i="15"/>
  <c r="AM58" i="15"/>
  <c r="AM59" i="15"/>
  <c r="AM60" i="15"/>
  <c r="AM61" i="15"/>
  <c r="AM62" i="15"/>
  <c r="AM63" i="15"/>
  <c r="AM64" i="15"/>
  <c r="AM65" i="15"/>
  <c r="AM66" i="15"/>
  <c r="AM67" i="15"/>
  <c r="AM68" i="15"/>
  <c r="AM69" i="15"/>
  <c r="AM70" i="15"/>
  <c r="AM71" i="15"/>
  <c r="AM72" i="15"/>
  <c r="AM73" i="15"/>
  <c r="AM74" i="15"/>
  <c r="AM75" i="15"/>
  <c r="AM76" i="15"/>
  <c r="AM77" i="15"/>
  <c r="AM78" i="15"/>
  <c r="AM79" i="15"/>
  <c r="AM80" i="15"/>
  <c r="AM81" i="15"/>
  <c r="AM82" i="15"/>
  <c r="AM83" i="15"/>
  <c r="AM84" i="15"/>
  <c r="AM85" i="15"/>
  <c r="AM86" i="15"/>
  <c r="AM87" i="15"/>
  <c r="AM88" i="15"/>
  <c r="AM89" i="15"/>
  <c r="AM90" i="15"/>
  <c r="AM91" i="15"/>
  <c r="AI3" i="15"/>
  <c r="AI4" i="15"/>
  <c r="AI5" i="15"/>
  <c r="AI6" i="15"/>
  <c r="AI7" i="15"/>
  <c r="AI8" i="15"/>
  <c r="AI9" i="15"/>
  <c r="AI10" i="15"/>
  <c r="AI11" i="15"/>
  <c r="AI12" i="15"/>
  <c r="AI13" i="15"/>
  <c r="AI14" i="15"/>
  <c r="AI15" i="15"/>
  <c r="AI16" i="15"/>
  <c r="AI17" i="15"/>
  <c r="AI18" i="15"/>
  <c r="AI19" i="15"/>
  <c r="AI20" i="15"/>
  <c r="AI21" i="15"/>
  <c r="AI22" i="15"/>
  <c r="AI23" i="15"/>
  <c r="AI24" i="15"/>
  <c r="AI25" i="15"/>
  <c r="AI26" i="15"/>
  <c r="AI27" i="15"/>
  <c r="AI28" i="15"/>
  <c r="AI29" i="15"/>
  <c r="AI30" i="15"/>
  <c r="AI31" i="15"/>
  <c r="AI32" i="15"/>
  <c r="AI33" i="15"/>
  <c r="AI34" i="15"/>
  <c r="AI35" i="15"/>
  <c r="AI36" i="15"/>
  <c r="AI37" i="15"/>
  <c r="AI38" i="15"/>
  <c r="AI39" i="15"/>
  <c r="AI40" i="15"/>
  <c r="AI41" i="15"/>
  <c r="AI42" i="15"/>
  <c r="AI43" i="15"/>
  <c r="AI44" i="15"/>
  <c r="AI45" i="15"/>
  <c r="AI46" i="15"/>
  <c r="AI47" i="15"/>
  <c r="AI48" i="15"/>
  <c r="AI49" i="15"/>
  <c r="AI50" i="15"/>
  <c r="AI51" i="15"/>
  <c r="AI52" i="15"/>
  <c r="AI53" i="15"/>
  <c r="AI54" i="15"/>
  <c r="AI55" i="15"/>
  <c r="AI56" i="15"/>
  <c r="AI57" i="15"/>
  <c r="AI58" i="15"/>
  <c r="AI59" i="15"/>
  <c r="AI60" i="15"/>
  <c r="AI61" i="15"/>
  <c r="AI62" i="15"/>
  <c r="AI63" i="15"/>
  <c r="AI64" i="15"/>
  <c r="AI65" i="15"/>
  <c r="AI66" i="15"/>
  <c r="AI67" i="15"/>
  <c r="AI68" i="15"/>
  <c r="AI69" i="15"/>
  <c r="AI70" i="15"/>
  <c r="AI71" i="15"/>
  <c r="AI72" i="15"/>
  <c r="AI73" i="15"/>
  <c r="AI74" i="15"/>
  <c r="AI75" i="15"/>
  <c r="AI76" i="15"/>
  <c r="AI77" i="15"/>
  <c r="AI78" i="15"/>
  <c r="AI79" i="15"/>
  <c r="AI80" i="15"/>
  <c r="AI81" i="15"/>
  <c r="AI82" i="15"/>
  <c r="AI83" i="15"/>
  <c r="AI84" i="15"/>
  <c r="AI85" i="15"/>
  <c r="AI86" i="15"/>
  <c r="AI87" i="15"/>
  <c r="AI88" i="15"/>
  <c r="AI89" i="15"/>
  <c r="AI90" i="15"/>
  <c r="AI91" i="15"/>
  <c r="AH3" i="15"/>
  <c r="AH4" i="15"/>
  <c r="AH5" i="15"/>
  <c r="AH6" i="15"/>
  <c r="AH7" i="15"/>
  <c r="AH8" i="15"/>
  <c r="AH9" i="15"/>
  <c r="AH10" i="15"/>
  <c r="AH11" i="15"/>
  <c r="AH12" i="15"/>
  <c r="AH13" i="15"/>
  <c r="AH14" i="15"/>
  <c r="AH15" i="15"/>
  <c r="AH16" i="15"/>
  <c r="AH17" i="15"/>
  <c r="AH18" i="15"/>
  <c r="AH19" i="15"/>
  <c r="AH20" i="15"/>
  <c r="AH21" i="15"/>
  <c r="AH22" i="15"/>
  <c r="AH23" i="15"/>
  <c r="AH24" i="15"/>
  <c r="AH25" i="15"/>
  <c r="AH26" i="15"/>
  <c r="AH27" i="15"/>
  <c r="AH28" i="15"/>
  <c r="AH29" i="15"/>
  <c r="AH30" i="15"/>
  <c r="AH31" i="15"/>
  <c r="AH32" i="15"/>
  <c r="AH33" i="15"/>
  <c r="AH34" i="15"/>
  <c r="AH35" i="15"/>
  <c r="AH36" i="15"/>
  <c r="AH37" i="15"/>
  <c r="AH38" i="15"/>
  <c r="AH39" i="15"/>
  <c r="AH40" i="15"/>
  <c r="AH41" i="15"/>
  <c r="AH42" i="15"/>
  <c r="AH43" i="15"/>
  <c r="AH44" i="15"/>
  <c r="AH45" i="15"/>
  <c r="AH46" i="15"/>
  <c r="AH47" i="15"/>
  <c r="AH48" i="15"/>
  <c r="AH49" i="15"/>
  <c r="AH50" i="15"/>
  <c r="AH51" i="15"/>
  <c r="AH52" i="15"/>
  <c r="AH53" i="15"/>
  <c r="AH54" i="15"/>
  <c r="AH55" i="15"/>
  <c r="AH56" i="15"/>
  <c r="AH57" i="15"/>
  <c r="AH58" i="15"/>
  <c r="AH59" i="15"/>
  <c r="AH60" i="15"/>
  <c r="AH61" i="15"/>
  <c r="AH62" i="15"/>
  <c r="AH63" i="15"/>
  <c r="AH64" i="15"/>
  <c r="AH65" i="15"/>
  <c r="AH66" i="15"/>
  <c r="AH67" i="15"/>
  <c r="AH68" i="15"/>
  <c r="AH69" i="15"/>
  <c r="AH70" i="15"/>
  <c r="AH71" i="15"/>
  <c r="AH72" i="15"/>
  <c r="AH73" i="15"/>
  <c r="AH74" i="15"/>
  <c r="AH75" i="15"/>
  <c r="AH76" i="15"/>
  <c r="AH77" i="15"/>
  <c r="AH78" i="15"/>
  <c r="AH79" i="15"/>
  <c r="AH80" i="15"/>
  <c r="AH81" i="15"/>
  <c r="AH82" i="15"/>
  <c r="AH83" i="15"/>
  <c r="AH84" i="15"/>
  <c r="AH85" i="15"/>
  <c r="AH86" i="15"/>
  <c r="AH87" i="15"/>
  <c r="AH88" i="15"/>
  <c r="AH89" i="15"/>
  <c r="AH90" i="15"/>
  <c r="AH91" i="15"/>
  <c r="AG3" i="15"/>
  <c r="AG4" i="15"/>
  <c r="AG5" i="15"/>
  <c r="AG6" i="15"/>
  <c r="AG7" i="15"/>
  <c r="AG8" i="15"/>
  <c r="AG9" i="15"/>
  <c r="AG10" i="15"/>
  <c r="AG11" i="15"/>
  <c r="AG12" i="15"/>
  <c r="AG13" i="15"/>
  <c r="AG14" i="15"/>
  <c r="AG15" i="15"/>
  <c r="AG16" i="15"/>
  <c r="AG17" i="15"/>
  <c r="AG18" i="15"/>
  <c r="AG19" i="15"/>
  <c r="AG20" i="15"/>
  <c r="AG21" i="15"/>
  <c r="AG22" i="15"/>
  <c r="AG23" i="15"/>
  <c r="AG24" i="15"/>
  <c r="AG25" i="15"/>
  <c r="AG26" i="15"/>
  <c r="AG27" i="15"/>
  <c r="AG28" i="15"/>
  <c r="AG29" i="15"/>
  <c r="AG30" i="15"/>
  <c r="AG31" i="15"/>
  <c r="AG32" i="15"/>
  <c r="AG33" i="15"/>
  <c r="AG34" i="15"/>
  <c r="AG35" i="15"/>
  <c r="AG36" i="15"/>
  <c r="AG37" i="15"/>
  <c r="AG38" i="15"/>
  <c r="AG39" i="15"/>
  <c r="AG40" i="15"/>
  <c r="AG41" i="15"/>
  <c r="AG42" i="15"/>
  <c r="AG43" i="15"/>
  <c r="AG44" i="15"/>
  <c r="AG45" i="15"/>
  <c r="AG46" i="15"/>
  <c r="AG47" i="15"/>
  <c r="AG48" i="15"/>
  <c r="AG49" i="15"/>
  <c r="AG50" i="15"/>
  <c r="AG51" i="15"/>
  <c r="AG52" i="15"/>
  <c r="AG53" i="15"/>
  <c r="AG54" i="15"/>
  <c r="AG55" i="15"/>
  <c r="AG56" i="15"/>
  <c r="AG57" i="15"/>
  <c r="AG58" i="15"/>
  <c r="AG59" i="15"/>
  <c r="AG60" i="15"/>
  <c r="AG61" i="15"/>
  <c r="AG62" i="15"/>
  <c r="AG63" i="15"/>
  <c r="AG64" i="15"/>
  <c r="AG65" i="15"/>
  <c r="AG66" i="15"/>
  <c r="AG67" i="15"/>
  <c r="AG68" i="15"/>
  <c r="AG69" i="15"/>
  <c r="AG70" i="15"/>
  <c r="AG71" i="15"/>
  <c r="AG72" i="15"/>
  <c r="AG73" i="15"/>
  <c r="AG74" i="15"/>
  <c r="AG75" i="15"/>
  <c r="AG76" i="15"/>
  <c r="AG77" i="15"/>
  <c r="AG78" i="15"/>
  <c r="AG79" i="15"/>
  <c r="AG80" i="15"/>
  <c r="AG81" i="15"/>
  <c r="AG82" i="15"/>
  <c r="AG83" i="15"/>
  <c r="AG84" i="15"/>
  <c r="AG85" i="15"/>
  <c r="AG86" i="15"/>
  <c r="AG87" i="15"/>
  <c r="AG88" i="15"/>
  <c r="AG89" i="15"/>
  <c r="AG90" i="15"/>
  <c r="AG91" i="15"/>
  <c r="AF3" i="15"/>
  <c r="AF4" i="15"/>
  <c r="AF5" i="15"/>
  <c r="AF6" i="15"/>
  <c r="AF7" i="15"/>
  <c r="AF8" i="15"/>
  <c r="AF9" i="15"/>
  <c r="AF10" i="15"/>
  <c r="AF11" i="15"/>
  <c r="AF12" i="15"/>
  <c r="AF13" i="15"/>
  <c r="AF14" i="15"/>
  <c r="AF15" i="15"/>
  <c r="AF16" i="15"/>
  <c r="AF17" i="15"/>
  <c r="AF18" i="15"/>
  <c r="AF19" i="15"/>
  <c r="AF20" i="15"/>
  <c r="AF21" i="15"/>
  <c r="AF22" i="15"/>
  <c r="AF23" i="15"/>
  <c r="AF24" i="15"/>
  <c r="AF25" i="15"/>
  <c r="AF26" i="15"/>
  <c r="AF27" i="15"/>
  <c r="AF28" i="15"/>
  <c r="AF29" i="15"/>
  <c r="AF30" i="15"/>
  <c r="AF31" i="15"/>
  <c r="AF32" i="15"/>
  <c r="AF33" i="15"/>
  <c r="AF34" i="15"/>
  <c r="AF35" i="15"/>
  <c r="AF36" i="15"/>
  <c r="AF37" i="15"/>
  <c r="AF38" i="15"/>
  <c r="AF39" i="15"/>
  <c r="AF40" i="15"/>
  <c r="AF41" i="15"/>
  <c r="AF42" i="15"/>
  <c r="AF43" i="15"/>
  <c r="AF44" i="15"/>
  <c r="AF45" i="15"/>
  <c r="AF46" i="15"/>
  <c r="AF47" i="15"/>
  <c r="AF48" i="15"/>
  <c r="AF49" i="15"/>
  <c r="AF50" i="15"/>
  <c r="AF51" i="15"/>
  <c r="AF52" i="15"/>
  <c r="AF53" i="15"/>
  <c r="AF54" i="15"/>
  <c r="AF55" i="15"/>
  <c r="AF56" i="15"/>
  <c r="AF57" i="15"/>
  <c r="AF58" i="15"/>
  <c r="AF59" i="15"/>
  <c r="AF60" i="15"/>
  <c r="AF61" i="15"/>
  <c r="AF62" i="15"/>
  <c r="AF63" i="15"/>
  <c r="AF64" i="15"/>
  <c r="AF65" i="15"/>
  <c r="AF66" i="15"/>
  <c r="AF67" i="15"/>
  <c r="AF68" i="15"/>
  <c r="AF69" i="15"/>
  <c r="AF70" i="15"/>
  <c r="AF71" i="15"/>
  <c r="AF72" i="15"/>
  <c r="AF73" i="15"/>
  <c r="AF74" i="15"/>
  <c r="AF75" i="15"/>
  <c r="AF76" i="15"/>
  <c r="AF77" i="15"/>
  <c r="AF78" i="15"/>
  <c r="AF79" i="15"/>
  <c r="AF80" i="15"/>
  <c r="AF81" i="15"/>
  <c r="AF82" i="15"/>
  <c r="AF83" i="15"/>
  <c r="AF84" i="15"/>
  <c r="AF85" i="15"/>
  <c r="AF86" i="15"/>
  <c r="AF87" i="15"/>
  <c r="AF88" i="15"/>
  <c r="AF89" i="15"/>
  <c r="AF90" i="15"/>
  <c r="AF91" i="15"/>
  <c r="AE3" i="15"/>
  <c r="AE4" i="15"/>
  <c r="AE5" i="15"/>
  <c r="AE6" i="15"/>
  <c r="AE7" i="15"/>
  <c r="AE8" i="15"/>
  <c r="AE9" i="15"/>
  <c r="AE10" i="15"/>
  <c r="AE11" i="15"/>
  <c r="AE12" i="15"/>
  <c r="AE13" i="15"/>
  <c r="AE14" i="15"/>
  <c r="AE15" i="15"/>
  <c r="AE16" i="15"/>
  <c r="AE17" i="15"/>
  <c r="AE18" i="15"/>
  <c r="AE19" i="15"/>
  <c r="AE20" i="15"/>
  <c r="AE21" i="15"/>
  <c r="AE22" i="15"/>
  <c r="AE23" i="15"/>
  <c r="AE24" i="15"/>
  <c r="AE25" i="15"/>
  <c r="AE26" i="15"/>
  <c r="AE27" i="15"/>
  <c r="AE28" i="15"/>
  <c r="AE29" i="15"/>
  <c r="AE30" i="15"/>
  <c r="AE31" i="15"/>
  <c r="AE32" i="15"/>
  <c r="AE33" i="15"/>
  <c r="AE34" i="15"/>
  <c r="AE35" i="15"/>
  <c r="AE36" i="15"/>
  <c r="AE37" i="15"/>
  <c r="AE38" i="15"/>
  <c r="AE39" i="15"/>
  <c r="AE40" i="15"/>
  <c r="AE41" i="15"/>
  <c r="AE42" i="15"/>
  <c r="AE43" i="15"/>
  <c r="AE44" i="15"/>
  <c r="AE45" i="15"/>
  <c r="AE46" i="15"/>
  <c r="AE47" i="15"/>
  <c r="AE48" i="15"/>
  <c r="AE49" i="15"/>
  <c r="AE50" i="15"/>
  <c r="AE51" i="15"/>
  <c r="AE52" i="15"/>
  <c r="AE53" i="15"/>
  <c r="AE54" i="15"/>
  <c r="AE55" i="15"/>
  <c r="AE56" i="15"/>
  <c r="AE57" i="15"/>
  <c r="AE58" i="15"/>
  <c r="AE59" i="15"/>
  <c r="AE60" i="15"/>
  <c r="AE61" i="15"/>
  <c r="AE62" i="15"/>
  <c r="AE63" i="15"/>
  <c r="AE64" i="15"/>
  <c r="AE65" i="15"/>
  <c r="AE66" i="15"/>
  <c r="AE67" i="15"/>
  <c r="AE68" i="15"/>
  <c r="AE69" i="15"/>
  <c r="AE70" i="15"/>
  <c r="AE71" i="15"/>
  <c r="AE72" i="15"/>
  <c r="AE73" i="15"/>
  <c r="AE74" i="15"/>
  <c r="AE75" i="15"/>
  <c r="AE76" i="15"/>
  <c r="AE77" i="15"/>
  <c r="AE78" i="15"/>
  <c r="AE79" i="15"/>
  <c r="AE80" i="15"/>
  <c r="AE81" i="15"/>
  <c r="AE82" i="15"/>
  <c r="AE83" i="15"/>
  <c r="AE84" i="15"/>
  <c r="AE85" i="15"/>
  <c r="AE86" i="15"/>
  <c r="AE87" i="15"/>
  <c r="AE88" i="15"/>
  <c r="AE89" i="15"/>
  <c r="AE90" i="15"/>
  <c r="AE91" i="15"/>
  <c r="AD3" i="15"/>
  <c r="AD4" i="15"/>
  <c r="AD5" i="15"/>
  <c r="AD6" i="15"/>
  <c r="AD7" i="15"/>
  <c r="AD8" i="15"/>
  <c r="AD9" i="15"/>
  <c r="AD10" i="15"/>
  <c r="AD11" i="15"/>
  <c r="AD12" i="15"/>
  <c r="AD13" i="15"/>
  <c r="AD14" i="15"/>
  <c r="AD15" i="15"/>
  <c r="AD16" i="15"/>
  <c r="AD17" i="15"/>
  <c r="AD18" i="15"/>
  <c r="AD19" i="15"/>
  <c r="AD20" i="15"/>
  <c r="AD21" i="15"/>
  <c r="AD22" i="15"/>
  <c r="AD23" i="15"/>
  <c r="AD24" i="15"/>
  <c r="AD25" i="15"/>
  <c r="AD26" i="15"/>
  <c r="AD27" i="15"/>
  <c r="AD28" i="15"/>
  <c r="AD29" i="15"/>
  <c r="AD30" i="15"/>
  <c r="AD31" i="15"/>
  <c r="AD32" i="15"/>
  <c r="AD33" i="15"/>
  <c r="AD34" i="15"/>
  <c r="AD35" i="15"/>
  <c r="AD36" i="15"/>
  <c r="AD37" i="15"/>
  <c r="AD38" i="15"/>
  <c r="AD39" i="15"/>
  <c r="AD40" i="15"/>
  <c r="AD41" i="15"/>
  <c r="AD42" i="15"/>
  <c r="AD43" i="15"/>
  <c r="AD44" i="15"/>
  <c r="AD45" i="15"/>
  <c r="AD46" i="15"/>
  <c r="AD47" i="15"/>
  <c r="AD48" i="15"/>
  <c r="AD49" i="15"/>
  <c r="AD50" i="15"/>
  <c r="AD51" i="15"/>
  <c r="AD52" i="15"/>
  <c r="AD53" i="15"/>
  <c r="AD54" i="15"/>
  <c r="AD55" i="15"/>
  <c r="AD56" i="15"/>
  <c r="AD57" i="15"/>
  <c r="AD58" i="15"/>
  <c r="AD59" i="15"/>
  <c r="AD60" i="15"/>
  <c r="AD61" i="15"/>
  <c r="AD62" i="15"/>
  <c r="AD63" i="15"/>
  <c r="AD64" i="15"/>
  <c r="AD65" i="15"/>
  <c r="AD66" i="15"/>
  <c r="AD67" i="15"/>
  <c r="AD68" i="15"/>
  <c r="AD69" i="15"/>
  <c r="AD70" i="15"/>
  <c r="AD71" i="15"/>
  <c r="AD72" i="15"/>
  <c r="AD73" i="15"/>
  <c r="AD74" i="15"/>
  <c r="AD75" i="15"/>
  <c r="AD76" i="15"/>
  <c r="AD77" i="15"/>
  <c r="AD78" i="15"/>
  <c r="AD79" i="15"/>
  <c r="AD80" i="15"/>
  <c r="AD81" i="15"/>
  <c r="AD82" i="15"/>
  <c r="AD83" i="15"/>
  <c r="AD84" i="15"/>
  <c r="AD85" i="15"/>
  <c r="AD86" i="15"/>
  <c r="AD87" i="15"/>
  <c r="AD88" i="15"/>
  <c r="AD89" i="15"/>
  <c r="AD90" i="15"/>
  <c r="AD91" i="15"/>
  <c r="AC3" i="15"/>
  <c r="AC4" i="15"/>
  <c r="AC5" i="15"/>
  <c r="AC6" i="15"/>
  <c r="AC7" i="15"/>
  <c r="AC8" i="15"/>
  <c r="AC9" i="15"/>
  <c r="AC10" i="15"/>
  <c r="AC11" i="15"/>
  <c r="AC12" i="15"/>
  <c r="AC13" i="15"/>
  <c r="AC14" i="15"/>
  <c r="AC15" i="15"/>
  <c r="AC16" i="15"/>
  <c r="AC17" i="15"/>
  <c r="AC18" i="15"/>
  <c r="AC19" i="15"/>
  <c r="AC20" i="15"/>
  <c r="AC21" i="15"/>
  <c r="AC22" i="15"/>
  <c r="AC23" i="15"/>
  <c r="AC24" i="15"/>
  <c r="AC25" i="15"/>
  <c r="AC26" i="15"/>
  <c r="AC27" i="15"/>
  <c r="AC28" i="15"/>
  <c r="AC29" i="15"/>
  <c r="AC30" i="15"/>
  <c r="AC31" i="15"/>
  <c r="AC32" i="15"/>
  <c r="AC33" i="15"/>
  <c r="AC34" i="15"/>
  <c r="AC35" i="15"/>
  <c r="AC36" i="15"/>
  <c r="AC37" i="15"/>
  <c r="AC38" i="15"/>
  <c r="AC39" i="15"/>
  <c r="AC40" i="15"/>
  <c r="AC41" i="15"/>
  <c r="AC42" i="15"/>
  <c r="AC43" i="15"/>
  <c r="AC44" i="15"/>
  <c r="AC45" i="15"/>
  <c r="AC46" i="15"/>
  <c r="AC47" i="15"/>
  <c r="AC48" i="15"/>
  <c r="AC49" i="15"/>
  <c r="AC50" i="15"/>
  <c r="AC51" i="15"/>
  <c r="AC52" i="15"/>
  <c r="AC53" i="15"/>
  <c r="AC54" i="15"/>
  <c r="AC55" i="15"/>
  <c r="AC56" i="15"/>
  <c r="AC57" i="15"/>
  <c r="AC58" i="15"/>
  <c r="AC59" i="15"/>
  <c r="AC60" i="15"/>
  <c r="AC61" i="15"/>
  <c r="AC62" i="15"/>
  <c r="AC63" i="15"/>
  <c r="AC64" i="15"/>
  <c r="AC65" i="15"/>
  <c r="AC66" i="15"/>
  <c r="AC67" i="15"/>
  <c r="AC68" i="15"/>
  <c r="AC69" i="15"/>
  <c r="AC70" i="15"/>
  <c r="AC71" i="15"/>
  <c r="AC72" i="15"/>
  <c r="AC73" i="15"/>
  <c r="AC74" i="15"/>
  <c r="AC75" i="15"/>
  <c r="AC76" i="15"/>
  <c r="AC77" i="15"/>
  <c r="AC78" i="15"/>
  <c r="AC79" i="15"/>
  <c r="AC80" i="15"/>
  <c r="AC81" i="15"/>
  <c r="AC82" i="15"/>
  <c r="AC83" i="15"/>
  <c r="AC84" i="15"/>
  <c r="AC85" i="15"/>
  <c r="AC86" i="15"/>
  <c r="AC87" i="15"/>
  <c r="AC88" i="15"/>
  <c r="AC89" i="15"/>
  <c r="AC90" i="15"/>
  <c r="AC91" i="15"/>
  <c r="AB3" i="15"/>
  <c r="AB4" i="15"/>
  <c r="AB5" i="15"/>
  <c r="AB6" i="15"/>
  <c r="AB7" i="15"/>
  <c r="AB8" i="15"/>
  <c r="AB9" i="15"/>
  <c r="AB10" i="15"/>
  <c r="AB11" i="15"/>
  <c r="AB12" i="15"/>
  <c r="AB13" i="15"/>
  <c r="AB14" i="15"/>
  <c r="AB15" i="15"/>
  <c r="AB16" i="15"/>
  <c r="AB17" i="15"/>
  <c r="AB18" i="15"/>
  <c r="AB19" i="15"/>
  <c r="AB20" i="15"/>
  <c r="AB21" i="15"/>
  <c r="AB22" i="15"/>
  <c r="AB23" i="15"/>
  <c r="AB24" i="15"/>
  <c r="AB25" i="15"/>
  <c r="AB26" i="15"/>
  <c r="AB27" i="15"/>
  <c r="AB28" i="15"/>
  <c r="AB29" i="15"/>
  <c r="AB30" i="15"/>
  <c r="AB31" i="15"/>
  <c r="AB32" i="15"/>
  <c r="AB33" i="15"/>
  <c r="AB34" i="15"/>
  <c r="AB35" i="15"/>
  <c r="AB36" i="15"/>
  <c r="AB37" i="15"/>
  <c r="AB38" i="15"/>
  <c r="AB39" i="15"/>
  <c r="AB40" i="15"/>
  <c r="AB41" i="15"/>
  <c r="AB42" i="15"/>
  <c r="AB43" i="15"/>
  <c r="AB44" i="15"/>
  <c r="AB45" i="15"/>
  <c r="AB46" i="15"/>
  <c r="AB47" i="15"/>
  <c r="AB48" i="15"/>
  <c r="AB49" i="15"/>
  <c r="AB50" i="15"/>
  <c r="AB51" i="15"/>
  <c r="AB52" i="15"/>
  <c r="AB53" i="15"/>
  <c r="AB54" i="15"/>
  <c r="AB55" i="15"/>
  <c r="AB56" i="15"/>
  <c r="AB57" i="15"/>
  <c r="AB58" i="15"/>
  <c r="AB59" i="15"/>
  <c r="AB60" i="15"/>
  <c r="AB61" i="15"/>
  <c r="AB62" i="15"/>
  <c r="AB63" i="15"/>
  <c r="AB64" i="15"/>
  <c r="AB65" i="15"/>
  <c r="AB66" i="15"/>
  <c r="AB67" i="15"/>
  <c r="AB68" i="15"/>
  <c r="AB69" i="15"/>
  <c r="AB70" i="15"/>
  <c r="AB71" i="15"/>
  <c r="AB72" i="15"/>
  <c r="AB73" i="15"/>
  <c r="AB74" i="15"/>
  <c r="AB75" i="15"/>
  <c r="AB76" i="15"/>
  <c r="AB77" i="15"/>
  <c r="AB78" i="15"/>
  <c r="AB79" i="15"/>
  <c r="AB80" i="15"/>
  <c r="AB81" i="15"/>
  <c r="AB82" i="15"/>
  <c r="AB83" i="15"/>
  <c r="AB84" i="15"/>
  <c r="AB85" i="15"/>
  <c r="AB86" i="15"/>
  <c r="AB87" i="15"/>
  <c r="AB88" i="15"/>
  <c r="AB89" i="15"/>
  <c r="AB90" i="15"/>
  <c r="AB91" i="15"/>
  <c r="AA3" i="15"/>
  <c r="AA4" i="15"/>
  <c r="AA5" i="15"/>
  <c r="AA6" i="15"/>
  <c r="AA7" i="15"/>
  <c r="AA8" i="15"/>
  <c r="AA9" i="15"/>
  <c r="AA10" i="15"/>
  <c r="AA11" i="15"/>
  <c r="AA12" i="15"/>
  <c r="AA13" i="15"/>
  <c r="AA14" i="15"/>
  <c r="AA15" i="15"/>
  <c r="AA16" i="15"/>
  <c r="AA17" i="15"/>
  <c r="AA18" i="15"/>
  <c r="AA19" i="15"/>
  <c r="AA20" i="15"/>
  <c r="AA21" i="15"/>
  <c r="AA22" i="15"/>
  <c r="AA23" i="15"/>
  <c r="AA24" i="15"/>
  <c r="AA25" i="15"/>
  <c r="AA26" i="15"/>
  <c r="AA27" i="15"/>
  <c r="AA28" i="15"/>
  <c r="AA29" i="15"/>
  <c r="AA30" i="15"/>
  <c r="AA31" i="15"/>
  <c r="AA32" i="15"/>
  <c r="AA33" i="15"/>
  <c r="AA34" i="15"/>
  <c r="AA35" i="15"/>
  <c r="AA36" i="15"/>
  <c r="AA37" i="15"/>
  <c r="AA38" i="15"/>
  <c r="AA39" i="15"/>
  <c r="AA40" i="15"/>
  <c r="AA41" i="15"/>
  <c r="AA42" i="15"/>
  <c r="AA43" i="15"/>
  <c r="AA44" i="15"/>
  <c r="AA45" i="15"/>
  <c r="AA46" i="15"/>
  <c r="AA47" i="15"/>
  <c r="AA48" i="15"/>
  <c r="AA49" i="15"/>
  <c r="AA50" i="15"/>
  <c r="AA51" i="15"/>
  <c r="AA52" i="15"/>
  <c r="AA53" i="15"/>
  <c r="AA54" i="15"/>
  <c r="AA55" i="15"/>
  <c r="AA56" i="15"/>
  <c r="AA57" i="15"/>
  <c r="AA58" i="15"/>
  <c r="AA59" i="15"/>
  <c r="AA60" i="15"/>
  <c r="AA61" i="15"/>
  <c r="AA62" i="15"/>
  <c r="AA63" i="15"/>
  <c r="AA64" i="15"/>
  <c r="AA65" i="15"/>
  <c r="AA66" i="15"/>
  <c r="AA67" i="15"/>
  <c r="AA68" i="15"/>
  <c r="AA69" i="15"/>
  <c r="AA70" i="15"/>
  <c r="AA71" i="15"/>
  <c r="AA72" i="15"/>
  <c r="AA73" i="15"/>
  <c r="AA74" i="15"/>
  <c r="AA75" i="15"/>
  <c r="AA76" i="15"/>
  <c r="AA77" i="15"/>
  <c r="AA78" i="15"/>
  <c r="AA79" i="15"/>
  <c r="AA80" i="15"/>
  <c r="AA81" i="15"/>
  <c r="AA82" i="15"/>
  <c r="AA83" i="15"/>
  <c r="AA84" i="15"/>
  <c r="AA85" i="15"/>
  <c r="AA86" i="15"/>
  <c r="AA87" i="15"/>
  <c r="AA88" i="15"/>
  <c r="AA89" i="15"/>
  <c r="AA90" i="15"/>
  <c r="AA91" i="15"/>
  <c r="U3" i="15"/>
  <c r="U4" i="15"/>
  <c r="U5" i="15"/>
  <c r="U6" i="15"/>
  <c r="U7" i="15"/>
  <c r="U8" i="15"/>
  <c r="U9" i="15"/>
  <c r="U10" i="15"/>
  <c r="U11" i="15"/>
  <c r="U12" i="15"/>
  <c r="U13" i="15"/>
  <c r="U14" i="15"/>
  <c r="U15" i="15"/>
  <c r="U16" i="15"/>
  <c r="U17" i="15"/>
  <c r="U18" i="15"/>
  <c r="U19" i="15"/>
  <c r="U20" i="15"/>
  <c r="U21" i="15"/>
  <c r="U22" i="15"/>
  <c r="U23" i="15"/>
  <c r="U24" i="15"/>
  <c r="U25" i="15"/>
  <c r="U26" i="15"/>
  <c r="U27" i="15"/>
  <c r="U28" i="15"/>
  <c r="U29" i="15"/>
  <c r="U30" i="15"/>
  <c r="U31" i="15"/>
  <c r="U32" i="15"/>
  <c r="U33" i="15"/>
  <c r="U34" i="15"/>
  <c r="U35" i="15"/>
  <c r="U36" i="15"/>
  <c r="U37" i="15"/>
  <c r="U38" i="15"/>
  <c r="U39" i="15"/>
  <c r="U40" i="15"/>
  <c r="U41" i="15"/>
  <c r="U42" i="15"/>
  <c r="U43" i="15"/>
  <c r="U44" i="15"/>
  <c r="U45" i="15"/>
  <c r="U46" i="15"/>
  <c r="U47" i="15"/>
  <c r="U48" i="15"/>
  <c r="U49" i="15"/>
  <c r="U50" i="15"/>
  <c r="U51" i="15"/>
  <c r="U52" i="15"/>
  <c r="U53" i="15"/>
  <c r="U54" i="15"/>
  <c r="U55" i="15"/>
  <c r="U56" i="15"/>
  <c r="U57" i="15"/>
  <c r="U58" i="15"/>
  <c r="U59" i="15"/>
  <c r="U60" i="15"/>
  <c r="U61" i="15"/>
  <c r="U62" i="15"/>
  <c r="U63" i="15"/>
  <c r="U64" i="15"/>
  <c r="U65" i="15"/>
  <c r="U66" i="15"/>
  <c r="U67" i="15"/>
  <c r="U68" i="15"/>
  <c r="U69" i="15"/>
  <c r="U70" i="15"/>
  <c r="U71" i="15"/>
  <c r="U72" i="15"/>
  <c r="U73" i="15"/>
  <c r="U74" i="15"/>
  <c r="U75" i="15"/>
  <c r="U76" i="15"/>
  <c r="U77" i="15"/>
  <c r="U78" i="15"/>
  <c r="U79" i="15"/>
  <c r="U80" i="15"/>
  <c r="U81" i="15"/>
  <c r="U82" i="15"/>
  <c r="U83" i="15"/>
  <c r="U84" i="15"/>
  <c r="U85" i="15"/>
  <c r="U86" i="15"/>
  <c r="U87" i="15"/>
  <c r="U88" i="15"/>
  <c r="U89" i="15"/>
  <c r="U90" i="15"/>
  <c r="U91" i="15"/>
  <c r="R6" i="15"/>
  <c r="R3" i="15"/>
  <c r="R4" i="15"/>
  <c r="R5" i="15"/>
  <c r="R7" i="15"/>
  <c r="R8" i="15"/>
  <c r="R9" i="15"/>
  <c r="R10" i="15"/>
  <c r="R11" i="15"/>
  <c r="R12" i="15"/>
  <c r="R13" i="15"/>
  <c r="R14" i="15"/>
  <c r="R15" i="15"/>
  <c r="R16" i="15"/>
  <c r="R17" i="15"/>
  <c r="R18" i="15"/>
  <c r="R19" i="15"/>
  <c r="R20" i="15"/>
  <c r="R21" i="15"/>
  <c r="R22" i="15"/>
  <c r="R23" i="15"/>
  <c r="R24" i="15"/>
  <c r="R25" i="15"/>
  <c r="R26" i="15"/>
  <c r="R27" i="15"/>
  <c r="R28" i="15"/>
  <c r="R29" i="15"/>
  <c r="R30" i="15"/>
  <c r="R31" i="15"/>
  <c r="R32" i="15"/>
  <c r="R33" i="15"/>
  <c r="R34" i="15"/>
  <c r="R35" i="15"/>
  <c r="R36" i="15"/>
  <c r="R37" i="15"/>
  <c r="R38" i="15"/>
  <c r="R39" i="15"/>
  <c r="R40" i="15"/>
  <c r="R41" i="15"/>
  <c r="R42" i="15"/>
  <c r="R43" i="15"/>
  <c r="R44" i="15"/>
  <c r="R45" i="15"/>
  <c r="R46" i="15"/>
  <c r="R47" i="15"/>
  <c r="R48" i="15"/>
  <c r="R49" i="15"/>
  <c r="R50" i="15"/>
  <c r="R51" i="15"/>
  <c r="R52" i="15"/>
  <c r="R53" i="15"/>
  <c r="R54" i="15"/>
  <c r="R55" i="15"/>
  <c r="R56" i="15"/>
  <c r="R57" i="15"/>
  <c r="R58" i="15"/>
  <c r="R59" i="15"/>
  <c r="R60" i="15"/>
  <c r="R61" i="15"/>
  <c r="R62" i="15"/>
  <c r="R63" i="15"/>
  <c r="R64" i="15"/>
  <c r="R65" i="15"/>
  <c r="R66" i="15"/>
  <c r="R67" i="15"/>
  <c r="R68" i="15"/>
  <c r="R69" i="15"/>
  <c r="R70" i="15"/>
  <c r="R71" i="15"/>
  <c r="R72" i="15"/>
  <c r="R73" i="15"/>
  <c r="R74" i="15"/>
  <c r="R75" i="15"/>
  <c r="R76" i="15"/>
  <c r="R77" i="15"/>
  <c r="R78" i="15"/>
  <c r="R79" i="15"/>
  <c r="R80" i="15"/>
  <c r="R81" i="15"/>
  <c r="R82" i="15"/>
  <c r="R83" i="15"/>
  <c r="R84" i="15"/>
  <c r="R85" i="15"/>
  <c r="R86" i="15"/>
  <c r="R87" i="15"/>
  <c r="R88" i="15"/>
  <c r="R89" i="15"/>
  <c r="R90" i="15"/>
  <c r="R91" i="15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B8" i="15" s="1"/>
  <c r="D61" i="13"/>
  <c r="D62" i="13"/>
  <c r="D63" i="13"/>
  <c r="D64" i="13"/>
  <c r="B42" i="15" s="1"/>
  <c r="D65" i="13"/>
  <c r="D66" i="13"/>
  <c r="D67" i="13"/>
  <c r="B51" i="15" s="1"/>
  <c r="D68" i="13"/>
  <c r="B53" i="15" s="1"/>
  <c r="D69" i="13"/>
  <c r="D70" i="13"/>
  <c r="D71" i="13"/>
  <c r="D72" i="13"/>
  <c r="B66" i="15" s="1"/>
  <c r="D73" i="13"/>
  <c r="D74" i="13"/>
  <c r="D75" i="13"/>
  <c r="D76" i="13"/>
  <c r="B85" i="15" s="1"/>
  <c r="D77" i="13"/>
  <c r="D78" i="13"/>
  <c r="D79" i="13"/>
  <c r="D80" i="13"/>
  <c r="B20" i="15" s="1"/>
  <c r="D81" i="13"/>
  <c r="D82" i="13"/>
  <c r="B49" i="15" s="1"/>
  <c r="D83" i="13"/>
  <c r="D84" i="13"/>
  <c r="B60" i="15" s="1"/>
  <c r="D85" i="13"/>
  <c r="D86" i="13"/>
  <c r="B68" i="15" s="1"/>
  <c r="D87" i="13"/>
  <c r="D88" i="13"/>
  <c r="B82" i="15" s="1"/>
  <c r="D89" i="13"/>
  <c r="D90" i="13"/>
  <c r="B90" i="15" s="1"/>
  <c r="D91" i="13"/>
  <c r="A3" i="13"/>
  <c r="R1" i="15" s="1"/>
  <c r="A4" i="13"/>
  <c r="A5" i="13"/>
  <c r="A6" i="13"/>
  <c r="BA3" i="13"/>
  <c r="BA4" i="13"/>
  <c r="BA5" i="13"/>
  <c r="BA6" i="13"/>
  <c r="BA7" i="13"/>
  <c r="BA8" i="13"/>
  <c r="BA9" i="13"/>
  <c r="BA10" i="13"/>
  <c r="BA11" i="13"/>
  <c r="BA12" i="13"/>
  <c r="BA13" i="13"/>
  <c r="BA14" i="13"/>
  <c r="BA15" i="13"/>
  <c r="BA16" i="13"/>
  <c r="BA17" i="13"/>
  <c r="BA18" i="13"/>
  <c r="BA19" i="13"/>
  <c r="BA20" i="13"/>
  <c r="BA21" i="13"/>
  <c r="BA22" i="13"/>
  <c r="BA23" i="13"/>
  <c r="BA24" i="13"/>
  <c r="BA25" i="13"/>
  <c r="BA26" i="13"/>
  <c r="BA27" i="13"/>
  <c r="BA28" i="13"/>
  <c r="BA29" i="13"/>
  <c r="BA30" i="13"/>
  <c r="BA31" i="13"/>
  <c r="BA32" i="13"/>
  <c r="BA33" i="13"/>
  <c r="BA34" i="13"/>
  <c r="BA35" i="13"/>
  <c r="BA36" i="13"/>
  <c r="BA37" i="13"/>
  <c r="BA38" i="13"/>
  <c r="BA39" i="13"/>
  <c r="BA40" i="13"/>
  <c r="BA41" i="13"/>
  <c r="BA42" i="13"/>
  <c r="BA43" i="13"/>
  <c r="BA44" i="13"/>
  <c r="BA45" i="13"/>
  <c r="BA46" i="13"/>
  <c r="BA47" i="13"/>
  <c r="BA48" i="13"/>
  <c r="BA49" i="13"/>
  <c r="BA50" i="13"/>
  <c r="BA51" i="13"/>
  <c r="BA52" i="13"/>
  <c r="BA53" i="13"/>
  <c r="BA54" i="13"/>
  <c r="BA55" i="13"/>
  <c r="BA56" i="13"/>
  <c r="BA57" i="13"/>
  <c r="BA58" i="13"/>
  <c r="BA59" i="13"/>
  <c r="BA60" i="13"/>
  <c r="BA61" i="13"/>
  <c r="BA62" i="13"/>
  <c r="AX3" i="13"/>
  <c r="AX4" i="13"/>
  <c r="AX5" i="13"/>
  <c r="AX6" i="13"/>
  <c r="AX7" i="13"/>
  <c r="AX8" i="13"/>
  <c r="AX9" i="13"/>
  <c r="AX10" i="13"/>
  <c r="AX11" i="13"/>
  <c r="AX12" i="13"/>
  <c r="AX13" i="13"/>
  <c r="AX14" i="13"/>
  <c r="AX15" i="13"/>
  <c r="AX16" i="13"/>
  <c r="AX17" i="13"/>
  <c r="AX18" i="13"/>
  <c r="AX19" i="13"/>
  <c r="AX20" i="13"/>
  <c r="AX21" i="13"/>
  <c r="AX22" i="13"/>
  <c r="AX23" i="13"/>
  <c r="AX24" i="13"/>
  <c r="AX25" i="13"/>
  <c r="AX26" i="13"/>
  <c r="AX27" i="13"/>
  <c r="AX28" i="13"/>
  <c r="AX29" i="13"/>
  <c r="AX30" i="13"/>
  <c r="AX31" i="13"/>
  <c r="AX32" i="13"/>
  <c r="AX33" i="13"/>
  <c r="AX34" i="13"/>
  <c r="AX35" i="13"/>
  <c r="AX36" i="13"/>
  <c r="AX37" i="13"/>
  <c r="AX38" i="13"/>
  <c r="AX39" i="13"/>
  <c r="AX40" i="13"/>
  <c r="AX41" i="13"/>
  <c r="AX42" i="13"/>
  <c r="AX43" i="13"/>
  <c r="AX44" i="13"/>
  <c r="AX45" i="13"/>
  <c r="AX46" i="13"/>
  <c r="AX47" i="13"/>
  <c r="AX48" i="13"/>
  <c r="AX49" i="13"/>
  <c r="AX50" i="13"/>
  <c r="AX51" i="13"/>
  <c r="AX52" i="13"/>
  <c r="AX53" i="13"/>
  <c r="AX54" i="13"/>
  <c r="AX55" i="13"/>
  <c r="AX56" i="13"/>
  <c r="AX57" i="13"/>
  <c r="AX58" i="13"/>
  <c r="AX59" i="13"/>
  <c r="AX60" i="13"/>
  <c r="AX61" i="13"/>
  <c r="AX62" i="13"/>
  <c r="AX63" i="13"/>
  <c r="AX64" i="13"/>
  <c r="AX65" i="13"/>
  <c r="AX66" i="13"/>
  <c r="AX67" i="13"/>
  <c r="AX68" i="13"/>
  <c r="AX69" i="13"/>
  <c r="AX70" i="13"/>
  <c r="AX71" i="13"/>
  <c r="AX72" i="13"/>
  <c r="AX73" i="13"/>
  <c r="AX74" i="13"/>
  <c r="AX75" i="13"/>
  <c r="AX76" i="13"/>
  <c r="AX77" i="13"/>
  <c r="AX78" i="13"/>
  <c r="AX79" i="13"/>
  <c r="AX80" i="13"/>
  <c r="AX81" i="13"/>
  <c r="AX82" i="13"/>
  <c r="AX83" i="13"/>
  <c r="AX84" i="13"/>
  <c r="AX85" i="13"/>
  <c r="AX86" i="13"/>
  <c r="AX87" i="13"/>
  <c r="AX88" i="13"/>
  <c r="AX89" i="13"/>
  <c r="AX90" i="13"/>
  <c r="AX91" i="13"/>
  <c r="AX92" i="13"/>
  <c r="AX93" i="13"/>
  <c r="AX94" i="13"/>
  <c r="AX95" i="13"/>
  <c r="AX96" i="13"/>
  <c r="AX97" i="13"/>
  <c r="AX98" i="13"/>
  <c r="AX99" i="13"/>
  <c r="AX100" i="13"/>
  <c r="AX101" i="13"/>
  <c r="AX102" i="13"/>
  <c r="AX103" i="13"/>
  <c r="AX104" i="13"/>
  <c r="AX105" i="13"/>
  <c r="AX106" i="13"/>
  <c r="AX107" i="13"/>
  <c r="AX108" i="13"/>
  <c r="AX109" i="13"/>
  <c r="AX110" i="13"/>
  <c r="AX111" i="13"/>
  <c r="AX112" i="13"/>
  <c r="AX113" i="13"/>
  <c r="AX114" i="13"/>
  <c r="AX115" i="13"/>
  <c r="AX116" i="13"/>
  <c r="AX117" i="13"/>
  <c r="AX118" i="13"/>
  <c r="AX119" i="13"/>
  <c r="AX120" i="13"/>
  <c r="AX121" i="13"/>
  <c r="AX122" i="13"/>
  <c r="AX123" i="13"/>
  <c r="AX124" i="13"/>
  <c r="AX125" i="13"/>
  <c r="AX126" i="13"/>
  <c r="AX127" i="13"/>
  <c r="AX128" i="13"/>
  <c r="AX129" i="13"/>
  <c r="AX130" i="13"/>
  <c r="AX131" i="13"/>
  <c r="AX132" i="13"/>
  <c r="AX133" i="13"/>
  <c r="AX134" i="13"/>
  <c r="AX135" i="13"/>
  <c r="AX136" i="13"/>
  <c r="AX137" i="13"/>
  <c r="AX138" i="13"/>
  <c r="AX139" i="13"/>
  <c r="AX140" i="13"/>
  <c r="AX141" i="13"/>
  <c r="AX142" i="13"/>
  <c r="AX143" i="13"/>
  <c r="AX144" i="13"/>
  <c r="AX145" i="13"/>
  <c r="AX146" i="13"/>
  <c r="AX147" i="13"/>
  <c r="AX148" i="13"/>
  <c r="AX149" i="13"/>
  <c r="AX150" i="13"/>
  <c r="AX151" i="13"/>
  <c r="AX152" i="13"/>
  <c r="AX153" i="13"/>
  <c r="AX154" i="13"/>
  <c r="AX155" i="13"/>
  <c r="AX156" i="13"/>
  <c r="AX157" i="13"/>
  <c r="AX158" i="13"/>
  <c r="AX159" i="13"/>
  <c r="AX160" i="13"/>
  <c r="AX161" i="13"/>
  <c r="AX162" i="13"/>
  <c r="AX163" i="13"/>
  <c r="AX164" i="13"/>
  <c r="AX165" i="13"/>
  <c r="AX166" i="13"/>
  <c r="AX167" i="13"/>
  <c r="AX168" i="13"/>
  <c r="AX169" i="13"/>
  <c r="AX170" i="13"/>
  <c r="AX171" i="13"/>
  <c r="AX172" i="13"/>
  <c r="AX173" i="13"/>
  <c r="AX174" i="13"/>
  <c r="AX175" i="13"/>
  <c r="AX176" i="13"/>
  <c r="AR3" i="13"/>
  <c r="F27" i="13" s="1"/>
  <c r="F76" i="15" s="1"/>
  <c r="AR4" i="13"/>
  <c r="F59" i="13" s="1"/>
  <c r="F84" i="15" s="1"/>
  <c r="AR5" i="13"/>
  <c r="F81" i="13" s="1"/>
  <c r="F33" i="15" s="1"/>
  <c r="AR6" i="13"/>
  <c r="AR7" i="13"/>
  <c r="F76" i="13" s="1"/>
  <c r="F85" i="15" s="1"/>
  <c r="AO3" i="13"/>
  <c r="BW1" i="15" s="1"/>
  <c r="AO4" i="13"/>
  <c r="Z6" i="12" s="1"/>
  <c r="AO5" i="13"/>
  <c r="AO6" i="13"/>
  <c r="AO7" i="13"/>
  <c r="AO8" i="13"/>
  <c r="AO9" i="13"/>
  <c r="AL4" i="13"/>
  <c r="W6" i="12" s="1"/>
  <c r="AL5" i="13"/>
  <c r="W7" i="12" s="1"/>
  <c r="AL6" i="13"/>
  <c r="N24" i="13" s="1"/>
  <c r="AT73" i="15" s="1"/>
  <c r="AL8" i="13"/>
  <c r="W10" i="12" s="1"/>
  <c r="AL9" i="13"/>
  <c r="W11" i="12" s="1"/>
  <c r="AL10" i="13"/>
  <c r="W12" i="12" s="1"/>
  <c r="AL11" i="13"/>
  <c r="AL12" i="13"/>
  <c r="W14" i="12" s="1"/>
  <c r="AL13" i="13"/>
  <c r="W15" i="12" s="1"/>
  <c r="AL14" i="13"/>
  <c r="W16" i="12" s="1"/>
  <c r="AL15" i="13"/>
  <c r="AL16" i="13"/>
  <c r="W18" i="12" s="1"/>
  <c r="AL17" i="13"/>
  <c r="W19" i="12" s="1"/>
  <c r="AL18" i="13"/>
  <c r="AL19" i="13"/>
  <c r="AL20" i="13"/>
  <c r="W22" i="12" s="1"/>
  <c r="AL21" i="13"/>
  <c r="W23" i="12" s="1"/>
  <c r="AL22" i="13"/>
  <c r="W24" i="12" s="1"/>
  <c r="AL23" i="13"/>
  <c r="AL24" i="13"/>
  <c r="W26" i="12" s="1"/>
  <c r="AL25" i="13"/>
  <c r="AL26" i="13"/>
  <c r="W28" i="12" s="1"/>
  <c r="AL27" i="13"/>
  <c r="AL28" i="13"/>
  <c r="W30" i="12" s="1"/>
  <c r="AL29" i="13"/>
  <c r="W31" i="12" s="1"/>
  <c r="AL30" i="13"/>
  <c r="W32" i="12" s="1"/>
  <c r="AL31" i="13"/>
  <c r="AL32" i="13"/>
  <c r="W34" i="12" s="1"/>
  <c r="AL33" i="13"/>
  <c r="W35" i="12" s="1"/>
  <c r="AL34" i="13"/>
  <c r="AI3" i="13"/>
  <c r="M15" i="13" s="1"/>
  <c r="AQ41" i="15" s="1"/>
  <c r="AI4" i="13"/>
  <c r="M63" i="13" s="1"/>
  <c r="AQ14" i="15" s="1"/>
  <c r="AI5" i="13"/>
  <c r="T7" i="12" s="1"/>
  <c r="AI6" i="13"/>
  <c r="M42" i="13" s="1"/>
  <c r="AQ77" i="15" s="1"/>
  <c r="AI7" i="13"/>
  <c r="T9" i="12" s="1"/>
  <c r="AI8" i="13"/>
  <c r="M91" i="13" s="1"/>
  <c r="AQ91" i="15" s="1"/>
  <c r="AI9" i="13"/>
  <c r="AI10" i="13"/>
  <c r="M9" i="13" s="1"/>
  <c r="AQ34" i="15" s="1"/>
  <c r="AI11" i="13"/>
  <c r="M37" i="13" s="1"/>
  <c r="AQ43" i="15" s="1"/>
  <c r="AI12" i="13"/>
  <c r="M86" i="13" s="1"/>
  <c r="AQ68" i="15" s="1"/>
  <c r="AI13" i="13"/>
  <c r="AI14" i="13"/>
  <c r="T16" i="12" s="1"/>
  <c r="AI15" i="13"/>
  <c r="M89" i="13" s="1"/>
  <c r="AQ87" i="15" s="1"/>
  <c r="AI16" i="13"/>
  <c r="T18" i="12" s="1"/>
  <c r="AI17" i="13"/>
  <c r="T19" i="12" s="1"/>
  <c r="AI18" i="13"/>
  <c r="AI19" i="13"/>
  <c r="M7" i="13" s="1"/>
  <c r="AQ18" i="15" s="1"/>
  <c r="AI20" i="13"/>
  <c r="M54" i="13" s="1"/>
  <c r="AQ38" i="15" s="1"/>
  <c r="AI21" i="13"/>
  <c r="M44" i="13" s="1"/>
  <c r="AQ89" i="15" s="1"/>
  <c r="AI22" i="13"/>
  <c r="AI23" i="13"/>
  <c r="M77" i="13" s="1"/>
  <c r="AQ86" i="15" s="1"/>
  <c r="AI24" i="13"/>
  <c r="M71" i="13" s="1"/>
  <c r="AQ65" i="15" s="1"/>
  <c r="AI25" i="13"/>
  <c r="T27" i="12" s="1"/>
  <c r="AI26" i="13"/>
  <c r="T28" i="12" s="1"/>
  <c r="AI27" i="13"/>
  <c r="M35" i="13" s="1"/>
  <c r="AQ31" i="15" s="1"/>
  <c r="AI28" i="13"/>
  <c r="M60" i="13" s="1"/>
  <c r="AQ8" i="15" s="1"/>
  <c r="AI29" i="13"/>
  <c r="M52" i="13" s="1"/>
  <c r="AQ28" i="15" s="1"/>
  <c r="AI30" i="13"/>
  <c r="M31" i="13" s="1"/>
  <c r="AQ19" i="15" s="1"/>
  <c r="AI31" i="13"/>
  <c r="M12" i="13" s="1"/>
  <c r="AQ36" i="15" s="1"/>
  <c r="AI32" i="13"/>
  <c r="M4" i="13" s="1"/>
  <c r="AQ4" i="15" s="1"/>
  <c r="AI33" i="13"/>
  <c r="T35" i="12" s="1"/>
  <c r="AI34" i="13"/>
  <c r="M80" i="13" s="1"/>
  <c r="AQ20" i="15" s="1"/>
  <c r="AI35" i="13"/>
  <c r="M76" i="13" s="1"/>
  <c r="AQ85" i="15" s="1"/>
  <c r="AI36" i="13"/>
  <c r="M81" i="13" s="1"/>
  <c r="AQ33" i="15" s="1"/>
  <c r="AI37" i="13"/>
  <c r="T39" i="12" s="1"/>
  <c r="AI38" i="13"/>
  <c r="M55" i="13" s="1"/>
  <c r="AQ52" i="15" s="1"/>
  <c r="AI39" i="13"/>
  <c r="M53" i="13" s="1"/>
  <c r="AQ30" i="15" s="1"/>
  <c r="AI40" i="13"/>
  <c r="M74" i="13" s="1"/>
  <c r="AQ79" i="15" s="1"/>
  <c r="AI41" i="13"/>
  <c r="M39" i="13" s="1"/>
  <c r="AQ63" i="15" s="1"/>
  <c r="AI42" i="13"/>
  <c r="M65" i="13" s="1"/>
  <c r="AQ46" i="15" s="1"/>
  <c r="AI43" i="13"/>
  <c r="M61" i="13" s="1"/>
  <c r="AQ9" i="15" s="1"/>
  <c r="AI44" i="13"/>
  <c r="M21" i="13" s="1"/>
  <c r="AQ70" i="15" s="1"/>
  <c r="AI45" i="13"/>
  <c r="M82" i="13" s="1"/>
  <c r="AQ49" i="15" s="1"/>
  <c r="T3" i="13"/>
  <c r="D3" i="5" s="1"/>
  <c r="T4" i="13"/>
  <c r="D4" i="5" s="1"/>
  <c r="T5" i="13"/>
  <c r="J30" i="13" s="1"/>
  <c r="AK6" i="15" s="1"/>
  <c r="T6" i="13"/>
  <c r="J42" i="13" s="1"/>
  <c r="AK77" i="15" s="1"/>
  <c r="T7" i="13"/>
  <c r="J72" i="13" s="1"/>
  <c r="AK66" i="15" s="1"/>
  <c r="T8" i="13"/>
  <c r="D8" i="5" s="1"/>
  <c r="T9" i="13"/>
  <c r="T10" i="13"/>
  <c r="T11" i="13"/>
  <c r="T12" i="13"/>
  <c r="T13" i="13"/>
  <c r="J10" i="13" s="1"/>
  <c r="AK39" i="15" s="1"/>
  <c r="T14" i="13"/>
  <c r="T15" i="13"/>
  <c r="D15" i="5" s="1"/>
  <c r="T16" i="13"/>
  <c r="D16" i="5" s="1"/>
  <c r="T17" i="13"/>
  <c r="J36" i="13" s="1"/>
  <c r="AK32" i="15" s="1"/>
  <c r="T18" i="13"/>
  <c r="T19" i="13"/>
  <c r="D19" i="5" s="1"/>
  <c r="T20" i="13"/>
  <c r="T21" i="13"/>
  <c r="D21" i="5" s="1"/>
  <c r="T22" i="13"/>
  <c r="T23" i="13"/>
  <c r="T24" i="13"/>
  <c r="D24" i="5" s="1"/>
  <c r="T25" i="13"/>
  <c r="J15" i="13" s="1"/>
  <c r="AK41" i="15" s="1"/>
  <c r="T26" i="13"/>
  <c r="T27" i="13"/>
  <c r="T28" i="13"/>
  <c r="D28" i="5" s="1"/>
  <c r="T29" i="13"/>
  <c r="J53" i="13" s="1"/>
  <c r="AK30" i="15" s="1"/>
  <c r="T30" i="13"/>
  <c r="D30" i="5" s="1"/>
  <c r="T31" i="13"/>
  <c r="T32" i="13"/>
  <c r="D32" i="5" s="1"/>
  <c r="I56" i="13"/>
  <c r="T56" i="15" s="1"/>
  <c r="I64" i="13"/>
  <c r="T42" i="15" s="1"/>
  <c r="D12" i="12"/>
  <c r="I70" i="13"/>
  <c r="T61" i="15" s="1"/>
  <c r="I90" i="13"/>
  <c r="T90" i="15" s="1"/>
  <c r="I82" i="13"/>
  <c r="T49" i="15" s="1"/>
  <c r="D32" i="12"/>
  <c r="I75" i="13"/>
  <c r="T81" i="15" s="1"/>
  <c r="I88" i="13"/>
  <c r="T82" i="15" s="1"/>
  <c r="I87" i="13"/>
  <c r="T80" i="15" s="1"/>
  <c r="I86" i="13"/>
  <c r="T68" i="15" s="1"/>
  <c r="I85" i="13"/>
  <c r="T64" i="15" s="1"/>
  <c r="AF47" i="13"/>
  <c r="AF46" i="13"/>
  <c r="AF45" i="13"/>
  <c r="AF44" i="13"/>
  <c r="AF43" i="13"/>
  <c r="AF42" i="13"/>
  <c r="AF41" i="13"/>
  <c r="AF40" i="13"/>
  <c r="AF39" i="13"/>
  <c r="AF38" i="13"/>
  <c r="AF37" i="13"/>
  <c r="AF36" i="13"/>
  <c r="AF35" i="13"/>
  <c r="AF34" i="13"/>
  <c r="AF33" i="13"/>
  <c r="AF32" i="13"/>
  <c r="AF31" i="13"/>
  <c r="AF30" i="13"/>
  <c r="AF29" i="13"/>
  <c r="AF28" i="13"/>
  <c r="AF27" i="13"/>
  <c r="AF26" i="13"/>
  <c r="AF25" i="13"/>
  <c r="AF24" i="13"/>
  <c r="AF23" i="13"/>
  <c r="AF22" i="13"/>
  <c r="AF21" i="13"/>
  <c r="AF20" i="13"/>
  <c r="AF19" i="13"/>
  <c r="AF18" i="13"/>
  <c r="AF17" i="13"/>
  <c r="AF16" i="13"/>
  <c r="AF15" i="13"/>
  <c r="AF14" i="13"/>
  <c r="AF13" i="13"/>
  <c r="AF12" i="13"/>
  <c r="Q14" i="12" s="1"/>
  <c r="AF11" i="13"/>
  <c r="AF10" i="13"/>
  <c r="AF9" i="13"/>
  <c r="AF8" i="13"/>
  <c r="AF7" i="13"/>
  <c r="AF6" i="13"/>
  <c r="AF5" i="13"/>
  <c r="AF4" i="13"/>
  <c r="AF3" i="13"/>
  <c r="K73" i="13"/>
  <c r="W78" i="15" s="1"/>
  <c r="I74" i="13"/>
  <c r="T79" i="15" s="1"/>
  <c r="I66" i="13"/>
  <c r="T50" i="15" s="1"/>
  <c r="I65" i="13"/>
  <c r="T46" i="15" s="1"/>
  <c r="I63" i="13"/>
  <c r="T14" i="15" s="1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52" i="15"/>
  <c r="G53" i="15"/>
  <c r="G54" i="15"/>
  <c r="G55" i="15"/>
  <c r="G56" i="15"/>
  <c r="G57" i="15"/>
  <c r="G58" i="15"/>
  <c r="G59" i="15"/>
  <c r="G60" i="15"/>
  <c r="G61" i="15"/>
  <c r="G62" i="15"/>
  <c r="G63" i="15"/>
  <c r="G64" i="15"/>
  <c r="G65" i="15"/>
  <c r="G66" i="15"/>
  <c r="G67" i="15"/>
  <c r="G68" i="15"/>
  <c r="G69" i="15"/>
  <c r="G70" i="15"/>
  <c r="G71" i="15"/>
  <c r="G72" i="15"/>
  <c r="G73" i="15"/>
  <c r="G74" i="15"/>
  <c r="G75" i="15"/>
  <c r="G76" i="15"/>
  <c r="G77" i="15"/>
  <c r="G78" i="15"/>
  <c r="G79" i="15"/>
  <c r="G80" i="15"/>
  <c r="G81" i="15"/>
  <c r="G82" i="15"/>
  <c r="G83" i="15"/>
  <c r="G84" i="15"/>
  <c r="G85" i="15"/>
  <c r="G86" i="15"/>
  <c r="G87" i="15"/>
  <c r="G88" i="15"/>
  <c r="G89" i="15"/>
  <c r="G90" i="15"/>
  <c r="G91" i="15"/>
  <c r="I29" i="13"/>
  <c r="T5" i="15" s="1"/>
  <c r="I46" i="13"/>
  <c r="T11" i="15" s="1"/>
  <c r="I34" i="13"/>
  <c r="T27" i="15" s="1"/>
  <c r="D16" i="12"/>
  <c r="D18" i="12"/>
  <c r="I19" i="13"/>
  <c r="T54" i="15" s="1"/>
  <c r="I33" i="13"/>
  <c r="T26" i="15" s="1"/>
  <c r="D26" i="12"/>
  <c r="I61" i="13"/>
  <c r="T9" i="15" s="1"/>
  <c r="I18" i="13"/>
  <c r="T47" i="15" s="1"/>
  <c r="D31" i="12"/>
  <c r="G3" i="15"/>
  <c r="I14" i="13"/>
  <c r="T40" i="15" s="1"/>
  <c r="A8" i="12"/>
  <c r="B3" i="15"/>
  <c r="B4" i="15"/>
  <c r="B12" i="15"/>
  <c r="B16" i="15"/>
  <c r="B18" i="15"/>
  <c r="B29" i="15"/>
  <c r="B34" i="15"/>
  <c r="B39" i="15"/>
  <c r="B35" i="15"/>
  <c r="B36" i="15"/>
  <c r="B37" i="15"/>
  <c r="B40" i="15"/>
  <c r="B41" i="15"/>
  <c r="B44" i="15"/>
  <c r="B45" i="15"/>
  <c r="B47" i="15"/>
  <c r="B54" i="15"/>
  <c r="B57" i="15"/>
  <c r="B70" i="15"/>
  <c r="B71" i="15"/>
  <c r="B72" i="15"/>
  <c r="B73" i="15"/>
  <c r="B74" i="15"/>
  <c r="B75" i="15"/>
  <c r="B76" i="15"/>
  <c r="B83" i="15"/>
  <c r="B5" i="15"/>
  <c r="B6" i="15"/>
  <c r="B19" i="15"/>
  <c r="B23" i="15"/>
  <c r="B26" i="15"/>
  <c r="B27" i="15"/>
  <c r="B31" i="15"/>
  <c r="B32" i="15"/>
  <c r="B43" i="15"/>
  <c r="B48" i="15"/>
  <c r="B63" i="15"/>
  <c r="B67" i="15"/>
  <c r="B69" i="15"/>
  <c r="B77" i="15"/>
  <c r="B88" i="15"/>
  <c r="B89" i="15"/>
  <c r="B7" i="15"/>
  <c r="B11" i="15"/>
  <c r="B17" i="15"/>
  <c r="B21" i="15"/>
  <c r="B22" i="15"/>
  <c r="B24" i="15"/>
  <c r="B25" i="15"/>
  <c r="B28" i="15"/>
  <c r="B30" i="15"/>
  <c r="B38" i="15"/>
  <c r="B52" i="15"/>
  <c r="B56" i="15"/>
  <c r="B59" i="15"/>
  <c r="B62" i="15"/>
  <c r="B84" i="15"/>
  <c r="B9" i="15"/>
  <c r="B10" i="15"/>
  <c r="B14" i="15"/>
  <c r="B46" i="15"/>
  <c r="B50" i="15"/>
  <c r="B55" i="15"/>
  <c r="B61" i="15"/>
  <c r="B65" i="15"/>
  <c r="B78" i="15"/>
  <c r="B79" i="15"/>
  <c r="B81" i="15"/>
  <c r="B86" i="15"/>
  <c r="B13" i="15"/>
  <c r="B15" i="15"/>
  <c r="B33" i="15"/>
  <c r="B58" i="15"/>
  <c r="B64" i="15"/>
  <c r="B80" i="15"/>
  <c r="B87" i="15"/>
  <c r="B91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W9" i="12"/>
  <c r="T13" i="12"/>
  <c r="A5" i="12"/>
  <c r="A6" i="12"/>
  <c r="E35" i="5" a="1"/>
  <c r="E35" i="5" s="1"/>
  <c r="E37" i="5" s="1"/>
  <c r="H23" i="8"/>
  <c r="A4" i="4"/>
  <c r="A6" i="4"/>
  <c r="A5" i="4"/>
  <c r="A8" i="4"/>
  <c r="A9" i="4"/>
  <c r="A7" i="4"/>
  <c r="A12" i="4"/>
  <c r="A10" i="4"/>
  <c r="A11" i="4"/>
  <c r="A15" i="4"/>
  <c r="A13" i="4"/>
  <c r="A14" i="4"/>
  <c r="A16" i="4"/>
  <c r="A17" i="4"/>
  <c r="A18" i="4"/>
  <c r="A3" i="3"/>
  <c r="A5" i="3"/>
  <c r="A25" i="3"/>
  <c r="A13" i="3"/>
  <c r="A14" i="5"/>
  <c r="A13" i="5"/>
  <c r="A10" i="5"/>
  <c r="A9" i="5"/>
  <c r="A11" i="5"/>
  <c r="A20" i="5"/>
  <c r="A19" i="5"/>
  <c r="A18" i="5"/>
  <c r="A23" i="5"/>
  <c r="A22" i="5"/>
  <c r="A21" i="5"/>
  <c r="A27" i="5"/>
  <c r="A28" i="5"/>
  <c r="A29" i="5"/>
  <c r="A25" i="5"/>
  <c r="A26" i="5"/>
  <c r="A24" i="5"/>
  <c r="A15" i="5"/>
  <c r="A17" i="5"/>
  <c r="A16" i="5"/>
  <c r="A3" i="5"/>
  <c r="A5" i="5"/>
  <c r="A4" i="5"/>
  <c r="A6" i="5"/>
  <c r="A7" i="5"/>
  <c r="A8" i="5"/>
  <c r="A32" i="5"/>
  <c r="A30" i="5"/>
  <c r="A31" i="5"/>
  <c r="A12" i="5"/>
  <c r="J25" i="4"/>
  <c r="K25" i="4"/>
  <c r="O25" i="4"/>
  <c r="F43" i="3"/>
  <c r="F45" i="3" s="1"/>
  <c r="F47" i="3" s="1"/>
  <c r="F24" i="4"/>
  <c r="D19" i="12"/>
  <c r="G28" i="13"/>
  <c r="E83" i="15" s="1"/>
  <c r="G23" i="13"/>
  <c r="E72" i="15" s="1"/>
  <c r="D15" i="12"/>
  <c r="I44" i="13"/>
  <c r="T89" i="15" s="1"/>
  <c r="N25" i="13"/>
  <c r="AT74" i="15" s="1"/>
  <c r="I45" i="13"/>
  <c r="T7" i="15" s="1"/>
  <c r="D17" i="12"/>
  <c r="I30" i="13"/>
  <c r="T6" i="15" s="1"/>
  <c r="D13" i="12"/>
  <c r="D27" i="12"/>
  <c r="I17" i="13"/>
  <c r="T45" i="15" s="1"/>
  <c r="D23" i="12"/>
  <c r="I13" i="13"/>
  <c r="T37" i="15" s="1"/>
  <c r="D7" i="12"/>
  <c r="I4" i="13"/>
  <c r="T4" i="15" s="1"/>
  <c r="T70" i="15"/>
  <c r="T74" i="15"/>
  <c r="T71" i="15"/>
  <c r="T75" i="15"/>
  <c r="T72" i="15"/>
  <c r="T76" i="15"/>
  <c r="T73" i="15"/>
  <c r="AK73" i="15"/>
  <c r="AK70" i="15"/>
  <c r="AK74" i="15"/>
  <c r="AK71" i="15"/>
  <c r="AK75" i="15"/>
  <c r="AK72" i="15"/>
  <c r="AK76" i="15"/>
  <c r="W72" i="15"/>
  <c r="W76" i="15"/>
  <c r="W73" i="15"/>
  <c r="W70" i="15"/>
  <c r="W74" i="15"/>
  <c r="W71" i="15"/>
  <c r="W75" i="15"/>
  <c r="V4" i="17" l="1"/>
  <c r="R17" i="17"/>
  <c r="X4" i="17"/>
  <c r="N9" i="17"/>
  <c r="T9" i="17" s="1"/>
  <c r="P10" i="17"/>
  <c r="V10" i="17" s="1"/>
  <c r="R7" i="17"/>
  <c r="X7" i="17" s="1"/>
  <c r="N16" i="17"/>
  <c r="T16" i="17" s="1"/>
  <c r="N12" i="17"/>
  <c r="T12" i="17" s="1"/>
  <c r="R15" i="17"/>
  <c r="X15" i="17" s="1"/>
  <c r="N15" i="17"/>
  <c r="T15" i="17" s="1"/>
  <c r="N11" i="17"/>
  <c r="T11" i="17" s="1"/>
  <c r="N7" i="17"/>
  <c r="T7" i="17" s="1"/>
  <c r="T17" i="17" s="1"/>
  <c r="N14" i="17"/>
  <c r="T14" i="17" s="1"/>
  <c r="N10" i="17"/>
  <c r="T10" i="17" s="1"/>
  <c r="F8" i="13"/>
  <c r="F29" i="15" s="1"/>
  <c r="F24" i="13"/>
  <c r="F73" i="15" s="1"/>
  <c r="F65" i="13"/>
  <c r="F46" i="15" s="1"/>
  <c r="L32" i="13"/>
  <c r="AZ23" i="15" s="1"/>
  <c r="L31" i="13"/>
  <c r="AZ19" i="15" s="1"/>
  <c r="N21" i="13"/>
  <c r="AT70" i="15" s="1"/>
  <c r="W8" i="12"/>
  <c r="N27" i="13"/>
  <c r="AT76" i="15" s="1"/>
  <c r="T29" i="12"/>
  <c r="N26" i="13"/>
  <c r="AT75" i="15" s="1"/>
  <c r="T17" i="12"/>
  <c r="T5" i="12"/>
  <c r="M83" i="13"/>
  <c r="AQ58" i="15" s="1"/>
  <c r="M40" i="13"/>
  <c r="AQ67" i="15" s="1"/>
  <c r="M87" i="13"/>
  <c r="AQ80" i="15" s="1"/>
  <c r="N23" i="13"/>
  <c r="AT72" i="15" s="1"/>
  <c r="M51" i="13"/>
  <c r="AQ25" i="15" s="1"/>
  <c r="L38" i="13"/>
  <c r="AZ48" i="15" s="1"/>
  <c r="I76" i="13"/>
  <c r="T85" i="15" s="1"/>
  <c r="I77" i="13"/>
  <c r="T86" i="15" s="1"/>
  <c r="F50" i="13"/>
  <c r="F24" i="15" s="1"/>
  <c r="F58" i="13"/>
  <c r="F62" i="15" s="1"/>
  <c r="F45" i="13"/>
  <c r="F7" i="15" s="1"/>
  <c r="F51" i="13"/>
  <c r="F25" i="15" s="1"/>
  <c r="F46" i="13"/>
  <c r="F11" i="15" s="1"/>
  <c r="F53" i="13"/>
  <c r="F30" i="15" s="1"/>
  <c r="T12" i="12"/>
  <c r="F47" i="13"/>
  <c r="F17" i="15" s="1"/>
  <c r="F56" i="13"/>
  <c r="F56" i="15" s="1"/>
  <c r="F69" i="13"/>
  <c r="F55" i="15" s="1"/>
  <c r="F16" i="13"/>
  <c r="F44" i="15" s="1"/>
  <c r="F12" i="13"/>
  <c r="F36" i="15" s="1"/>
  <c r="F28" i="13"/>
  <c r="F83" i="15" s="1"/>
  <c r="F73" i="13"/>
  <c r="F78" i="15" s="1"/>
  <c r="F4" i="13"/>
  <c r="F4" i="15" s="1"/>
  <c r="F20" i="13"/>
  <c r="F57" i="15" s="1"/>
  <c r="F61" i="13"/>
  <c r="F9" i="15" s="1"/>
  <c r="F77" i="13"/>
  <c r="F86" i="15" s="1"/>
  <c r="T37" i="12"/>
  <c r="J28" i="13"/>
  <c r="AK83" i="15" s="1"/>
  <c r="M10" i="13"/>
  <c r="AQ39" i="15" s="1"/>
  <c r="T36" i="12"/>
  <c r="T6" i="12"/>
  <c r="I73" i="13"/>
  <c r="T78" i="15" s="1"/>
  <c r="T45" i="12"/>
  <c r="M75" i="13"/>
  <c r="AQ81" i="15" s="1"/>
  <c r="Z5" i="12"/>
  <c r="M20" i="13"/>
  <c r="AQ57" i="15" s="1"/>
  <c r="F48" i="13"/>
  <c r="F21" i="15" s="1"/>
  <c r="F55" i="13"/>
  <c r="F52" i="15" s="1"/>
  <c r="M43" i="13"/>
  <c r="AQ88" i="15" s="1"/>
  <c r="D9" i="12"/>
  <c r="L14" i="13"/>
  <c r="AZ40" i="15" s="1"/>
  <c r="T34" i="12"/>
  <c r="T10" i="12"/>
  <c r="M27" i="13"/>
  <c r="AQ76" i="15" s="1"/>
  <c r="I37" i="13"/>
  <c r="T43" i="15" s="1"/>
  <c r="D10" i="12"/>
  <c r="G7" i="12"/>
  <c r="M67" i="13"/>
  <c r="AQ51" i="15" s="1"/>
  <c r="T14" i="12"/>
  <c r="M48" i="13"/>
  <c r="AQ21" i="15" s="1"/>
  <c r="M14" i="13"/>
  <c r="AQ40" i="15" s="1"/>
  <c r="J85" i="13"/>
  <c r="AK64" i="15" s="1"/>
  <c r="D14" i="12"/>
  <c r="I35" i="13"/>
  <c r="T31" i="15" s="1"/>
  <c r="M47" i="13"/>
  <c r="AQ17" i="15" s="1"/>
  <c r="L49" i="13"/>
  <c r="AZ22" i="15" s="1"/>
  <c r="L84" i="13"/>
  <c r="AZ60" i="15" s="1"/>
  <c r="L41" i="13"/>
  <c r="AZ69" i="15" s="1"/>
  <c r="L30" i="13"/>
  <c r="AZ6" i="15" s="1"/>
  <c r="L28" i="13"/>
  <c r="AZ83" i="15" s="1"/>
  <c r="L17" i="13"/>
  <c r="AZ45" i="15" s="1"/>
  <c r="M72" i="13"/>
  <c r="AQ66" i="15" s="1"/>
  <c r="J34" i="13"/>
  <c r="AK27" i="15" s="1"/>
  <c r="F5" i="13"/>
  <c r="F12" i="15" s="1"/>
  <c r="F9" i="13"/>
  <c r="F34" i="15" s="1"/>
  <c r="F13" i="13"/>
  <c r="F37" i="15" s="1"/>
  <c r="F17" i="13"/>
  <c r="F45" i="15" s="1"/>
  <c r="F21" i="13"/>
  <c r="F70" i="15" s="1"/>
  <c r="F25" i="13"/>
  <c r="F74" i="15" s="1"/>
  <c r="F62" i="13"/>
  <c r="F10" i="15" s="1"/>
  <c r="F66" i="13"/>
  <c r="F50" i="15" s="1"/>
  <c r="F70" i="13"/>
  <c r="F61" i="15" s="1"/>
  <c r="F74" i="13"/>
  <c r="F79" i="15" s="1"/>
  <c r="J5" i="13"/>
  <c r="AK12" i="15" s="1"/>
  <c r="G5" i="12"/>
  <c r="G16" i="5" s="1"/>
  <c r="T43" i="12"/>
  <c r="M16" i="13"/>
  <c r="AQ44" i="15" s="1"/>
  <c r="F6" i="13"/>
  <c r="F16" i="15" s="1"/>
  <c r="F10" i="13"/>
  <c r="F39" i="15" s="1"/>
  <c r="F14" i="13"/>
  <c r="F40" i="15" s="1"/>
  <c r="F18" i="13"/>
  <c r="F47" i="15" s="1"/>
  <c r="F22" i="13"/>
  <c r="F71" i="15" s="1"/>
  <c r="F26" i="13"/>
  <c r="F75" i="15" s="1"/>
  <c r="F63" i="13"/>
  <c r="F14" i="15" s="1"/>
  <c r="F67" i="13"/>
  <c r="F51" i="15" s="1"/>
  <c r="F71" i="13"/>
  <c r="F65" i="15" s="1"/>
  <c r="F75" i="13"/>
  <c r="F81" i="15" s="1"/>
  <c r="M49" i="13"/>
  <c r="AQ22" i="15" s="1"/>
  <c r="M19" i="13"/>
  <c r="AQ54" i="15" s="1"/>
  <c r="M8" i="13"/>
  <c r="AQ29" i="15" s="1"/>
  <c r="F3" i="13"/>
  <c r="F3" i="15" s="1"/>
  <c r="F7" i="13"/>
  <c r="F18" i="15" s="1"/>
  <c r="F11" i="13"/>
  <c r="F35" i="15" s="1"/>
  <c r="F15" i="13"/>
  <c r="F41" i="15" s="1"/>
  <c r="F19" i="13"/>
  <c r="F54" i="15" s="1"/>
  <c r="F23" i="13"/>
  <c r="F72" i="15" s="1"/>
  <c r="F64" i="13"/>
  <c r="F42" i="15" s="1"/>
  <c r="F68" i="13"/>
  <c r="F53" i="15" s="1"/>
  <c r="F72" i="13"/>
  <c r="F66" i="15" s="1"/>
  <c r="T31" i="12"/>
  <c r="J8" i="13"/>
  <c r="AK29" i="15" s="1"/>
  <c r="G31" i="12"/>
  <c r="G10" i="12"/>
  <c r="I9" i="13"/>
  <c r="T34" i="15" s="1"/>
  <c r="Q4" i="18"/>
  <c r="R4" i="18" s="1"/>
  <c r="Y4" i="18"/>
  <c r="Q12" i="12"/>
  <c r="M6" i="4"/>
  <c r="G6" i="4"/>
  <c r="S6" i="4"/>
  <c r="K9" i="4"/>
  <c r="Q9" i="4"/>
  <c r="E9" i="4"/>
  <c r="M14" i="4"/>
  <c r="S14" i="4"/>
  <c r="G14" i="4"/>
  <c r="O15" i="4"/>
  <c r="I15" i="4"/>
  <c r="U15" i="4"/>
  <c r="Q44" i="12"/>
  <c r="Q17" i="4"/>
  <c r="E17" i="4"/>
  <c r="K17" i="4"/>
  <c r="Q48" i="12"/>
  <c r="S18" i="4"/>
  <c r="M18" i="4"/>
  <c r="G18" i="4"/>
  <c r="G28" i="12"/>
  <c r="D26" i="5"/>
  <c r="G24" i="12"/>
  <c r="D22" i="5"/>
  <c r="J80" i="13"/>
  <c r="AK20" i="15" s="1"/>
  <c r="D18" i="5"/>
  <c r="J77" i="13"/>
  <c r="AK86" i="15" s="1"/>
  <c r="D14" i="5"/>
  <c r="G12" i="12"/>
  <c r="D10" i="5"/>
  <c r="J20" i="13"/>
  <c r="AK57" i="15" s="1"/>
  <c r="D6" i="5"/>
  <c r="G11" i="18"/>
  <c r="O11" i="18"/>
  <c r="W11" i="18"/>
  <c r="G10" i="18"/>
  <c r="W10" i="18"/>
  <c r="O10" i="18"/>
  <c r="G9" i="18"/>
  <c r="W9" i="18"/>
  <c r="O9" i="18"/>
  <c r="W8" i="18"/>
  <c r="O8" i="18"/>
  <c r="G8" i="18"/>
  <c r="W7" i="18"/>
  <c r="G7" i="18"/>
  <c r="O7" i="18"/>
  <c r="G6" i="18"/>
  <c r="W6" i="18"/>
  <c r="O6" i="18"/>
  <c r="G5" i="18"/>
  <c r="W5" i="18"/>
  <c r="O5" i="18"/>
  <c r="I7" i="13"/>
  <c r="T18" i="15" s="1"/>
  <c r="B30" i="3"/>
  <c r="I6" i="13"/>
  <c r="T16" i="15" s="1"/>
  <c r="B26" i="3"/>
  <c r="I78" i="13"/>
  <c r="T13" i="15" s="1"/>
  <c r="B22" i="3"/>
  <c r="D20" i="12"/>
  <c r="B18" i="3"/>
  <c r="I91" i="13"/>
  <c r="T91" i="15" s="1"/>
  <c r="B6" i="3"/>
  <c r="G78" i="13"/>
  <c r="E13" i="15" s="1"/>
  <c r="K91" i="13"/>
  <c r="W91" i="15" s="1"/>
  <c r="O7" i="4"/>
  <c r="U7" i="4"/>
  <c r="I7" i="4"/>
  <c r="K36" i="13"/>
  <c r="W32" i="15" s="1"/>
  <c r="O11" i="4"/>
  <c r="U11" i="4"/>
  <c r="I11" i="4"/>
  <c r="Q5" i="12"/>
  <c r="Q4" i="4"/>
  <c r="K4" i="4"/>
  <c r="E4" i="4"/>
  <c r="Q9" i="12"/>
  <c r="S5" i="4"/>
  <c r="G5" i="4"/>
  <c r="M5" i="4"/>
  <c r="U6" i="4"/>
  <c r="O6" i="4"/>
  <c r="I6" i="4"/>
  <c r="Q17" i="12"/>
  <c r="Q8" i="4"/>
  <c r="E8" i="4"/>
  <c r="K8" i="4"/>
  <c r="Q21" i="12"/>
  <c r="S9" i="4"/>
  <c r="M9" i="4"/>
  <c r="G9" i="4"/>
  <c r="K86" i="13"/>
  <c r="W68" i="15" s="1"/>
  <c r="U10" i="4"/>
  <c r="I10" i="4"/>
  <c r="O10" i="4"/>
  <c r="Q29" i="12"/>
  <c r="Q12" i="4"/>
  <c r="E12" i="4"/>
  <c r="K12" i="4"/>
  <c r="S13" i="4"/>
  <c r="G13" i="4"/>
  <c r="M13" i="4"/>
  <c r="K80" i="13"/>
  <c r="W20" i="15" s="1"/>
  <c r="U14" i="4"/>
  <c r="O14" i="4"/>
  <c r="I14" i="4"/>
  <c r="Q41" i="12"/>
  <c r="Q16" i="4"/>
  <c r="K16" i="4"/>
  <c r="E16" i="4"/>
  <c r="S17" i="4"/>
  <c r="G17" i="4"/>
  <c r="M17" i="4"/>
  <c r="U18" i="4"/>
  <c r="O18" i="4"/>
  <c r="I18" i="4"/>
  <c r="G27" i="12"/>
  <c r="D25" i="5"/>
  <c r="G19" i="12"/>
  <c r="D17" i="5"/>
  <c r="J58" i="13"/>
  <c r="AK62" i="15" s="1"/>
  <c r="D13" i="5"/>
  <c r="J81" i="13"/>
  <c r="AK33" i="15" s="1"/>
  <c r="D9" i="5"/>
  <c r="J47" i="13"/>
  <c r="AK17" i="15" s="1"/>
  <c r="D5" i="5"/>
  <c r="I11" i="18"/>
  <c r="Y11" i="18"/>
  <c r="Q11" i="18"/>
  <c r="I10" i="18"/>
  <c r="Y10" i="18"/>
  <c r="Q10" i="18"/>
  <c r="W25" i="12"/>
  <c r="Y9" i="18"/>
  <c r="Q9" i="18"/>
  <c r="I8" i="18"/>
  <c r="Y8" i="18"/>
  <c r="Q8" i="18"/>
  <c r="I7" i="18"/>
  <c r="Y7" i="18"/>
  <c r="Q7" i="18"/>
  <c r="W13" i="12"/>
  <c r="Y6" i="18"/>
  <c r="Q6" i="18"/>
  <c r="N22" i="13"/>
  <c r="AT71" i="15" s="1"/>
  <c r="S4" i="18"/>
  <c r="K4" i="18"/>
  <c r="C4" i="18"/>
  <c r="I60" i="13"/>
  <c r="T8" i="15" s="1"/>
  <c r="B33" i="3"/>
  <c r="D29" i="5"/>
  <c r="Q8" i="12"/>
  <c r="Q5" i="4"/>
  <c r="K5" i="4"/>
  <c r="E5" i="4"/>
  <c r="Q24" i="12"/>
  <c r="M10" i="4"/>
  <c r="S10" i="4"/>
  <c r="G10" i="4"/>
  <c r="G32" i="12"/>
  <c r="Q10" i="12"/>
  <c r="I5" i="4"/>
  <c r="U5" i="4"/>
  <c r="O5" i="4"/>
  <c r="Q18" i="12"/>
  <c r="M8" i="4"/>
  <c r="G8" i="4"/>
  <c r="S8" i="4"/>
  <c r="Q26" i="12"/>
  <c r="K11" i="4"/>
  <c r="Q11" i="4"/>
  <c r="E11" i="4"/>
  <c r="Q34" i="12"/>
  <c r="O13" i="4"/>
  <c r="U13" i="4"/>
  <c r="I13" i="4"/>
  <c r="G16" i="4"/>
  <c r="S16" i="4"/>
  <c r="M16" i="4"/>
  <c r="J19" i="13"/>
  <c r="AK54" i="15" s="1"/>
  <c r="D20" i="5"/>
  <c r="G14" i="12"/>
  <c r="D12" i="5"/>
  <c r="S11" i="18"/>
  <c r="K11" i="18"/>
  <c r="C11" i="18"/>
  <c r="S10" i="18"/>
  <c r="K10" i="18"/>
  <c r="C10" i="18"/>
  <c r="S9" i="18"/>
  <c r="K9" i="18"/>
  <c r="C9" i="18"/>
  <c r="S8" i="18"/>
  <c r="K8" i="18"/>
  <c r="C8" i="18"/>
  <c r="W20" i="12"/>
  <c r="S7" i="18"/>
  <c r="K7" i="18"/>
  <c r="C7" i="18"/>
  <c r="S6" i="18"/>
  <c r="K6" i="18"/>
  <c r="C6" i="18"/>
  <c r="S5" i="18"/>
  <c r="K5" i="18"/>
  <c r="L5" i="18" s="1"/>
  <c r="C5" i="18"/>
  <c r="U4" i="18"/>
  <c r="M4" i="18"/>
  <c r="N4" i="18" s="1"/>
  <c r="E4" i="18"/>
  <c r="D30" i="12"/>
  <c r="B28" i="3"/>
  <c r="I41" i="13"/>
  <c r="T69" i="15" s="1"/>
  <c r="B20" i="3"/>
  <c r="Q32" i="12"/>
  <c r="Q13" i="4"/>
  <c r="E13" i="4"/>
  <c r="K13" i="4"/>
  <c r="Q6" i="12"/>
  <c r="M4" i="4"/>
  <c r="S4" i="4"/>
  <c r="G4" i="4"/>
  <c r="K7" i="4"/>
  <c r="E7" i="4"/>
  <c r="Q7" i="4"/>
  <c r="K10" i="13"/>
  <c r="W39" i="15" s="1"/>
  <c r="U9" i="4"/>
  <c r="O9" i="4"/>
  <c r="I9" i="4"/>
  <c r="M12" i="4"/>
  <c r="S12" i="4"/>
  <c r="G12" i="4"/>
  <c r="Q38" i="12"/>
  <c r="Q15" i="4"/>
  <c r="K15" i="4"/>
  <c r="E15" i="4"/>
  <c r="Q46" i="12"/>
  <c r="I17" i="4"/>
  <c r="O17" i="4"/>
  <c r="U17" i="4"/>
  <c r="L8" i="13"/>
  <c r="AZ29" i="15" s="1"/>
  <c r="Q36" i="12"/>
  <c r="J18" i="13"/>
  <c r="AK47" i="15" s="1"/>
  <c r="J33" i="13"/>
  <c r="AK26" i="15" s="1"/>
  <c r="J43" i="13"/>
  <c r="AK88" i="15" s="1"/>
  <c r="J48" i="13"/>
  <c r="AK21" i="15" s="1"/>
  <c r="M50" i="13"/>
  <c r="AQ24" i="15" s="1"/>
  <c r="K84" i="13"/>
  <c r="W60" i="15" s="1"/>
  <c r="I4" i="4"/>
  <c r="U4" i="4"/>
  <c r="O4" i="4"/>
  <c r="Q6" i="4"/>
  <c r="E6" i="4"/>
  <c r="K6" i="4"/>
  <c r="S7" i="4"/>
  <c r="M7" i="4"/>
  <c r="G7" i="4"/>
  <c r="K88" i="13"/>
  <c r="W82" i="15" s="1"/>
  <c r="O8" i="4"/>
  <c r="I8" i="4"/>
  <c r="U8" i="4"/>
  <c r="E10" i="4"/>
  <c r="Q10" i="4"/>
  <c r="K10" i="4"/>
  <c r="S11" i="4"/>
  <c r="G11" i="4"/>
  <c r="M11" i="4"/>
  <c r="I12" i="4"/>
  <c r="U12" i="4"/>
  <c r="O12" i="4"/>
  <c r="E14" i="4"/>
  <c r="K14" i="4"/>
  <c r="Q14" i="4"/>
  <c r="M15" i="4"/>
  <c r="S15" i="4"/>
  <c r="G15" i="4"/>
  <c r="U16" i="4"/>
  <c r="I16" i="4"/>
  <c r="O16" i="4"/>
  <c r="E18" i="4"/>
  <c r="Q18" i="4"/>
  <c r="K18" i="4"/>
  <c r="G33" i="12"/>
  <c r="D31" i="5"/>
  <c r="J63" i="13"/>
  <c r="AK14" i="15" s="1"/>
  <c r="D27" i="5"/>
  <c r="J4" i="13"/>
  <c r="AK4" i="15" s="1"/>
  <c r="D23" i="5"/>
  <c r="J3" i="13"/>
  <c r="AK3" i="15" s="1"/>
  <c r="D11" i="5"/>
  <c r="J11" i="13"/>
  <c r="AK35" i="15" s="1"/>
  <c r="D7" i="5"/>
  <c r="U11" i="18"/>
  <c r="M11" i="18"/>
  <c r="E11" i="18"/>
  <c r="M10" i="18"/>
  <c r="E10" i="18"/>
  <c r="U10" i="18"/>
  <c r="W27" i="12"/>
  <c r="E9" i="18"/>
  <c r="U9" i="18"/>
  <c r="M9" i="18"/>
  <c r="U8" i="18"/>
  <c r="M8" i="18"/>
  <c r="E8" i="18"/>
  <c r="U7" i="18"/>
  <c r="M7" i="18"/>
  <c r="E7" i="18"/>
  <c r="M6" i="18"/>
  <c r="U6" i="18"/>
  <c r="E6" i="18"/>
  <c r="E5" i="18"/>
  <c r="U5" i="18"/>
  <c r="M5" i="18"/>
  <c r="W4" i="18"/>
  <c r="O4" i="18"/>
  <c r="P4" i="18" s="1"/>
  <c r="G4" i="18"/>
  <c r="D33" i="12"/>
  <c r="B31" i="3"/>
  <c r="I52" i="13"/>
  <c r="T28" i="15" s="1"/>
  <c r="B27" i="3"/>
  <c r="I67" i="13"/>
  <c r="T51" i="15" s="1"/>
  <c r="B23" i="3"/>
  <c r="I50" i="13"/>
  <c r="T24" i="15" s="1"/>
  <c r="B19" i="3"/>
  <c r="BF84" i="15"/>
  <c r="BX91" i="15"/>
  <c r="BX87" i="15"/>
  <c r="BX83" i="15"/>
  <c r="BX79" i="15"/>
  <c r="BX75" i="15"/>
  <c r="BX71" i="15"/>
  <c r="BX67" i="15"/>
  <c r="BX63" i="15"/>
  <c r="BX59" i="15"/>
  <c r="BX55" i="15"/>
  <c r="BX51" i="15"/>
  <c r="BX47" i="15"/>
  <c r="BX43" i="15"/>
  <c r="BX39" i="15"/>
  <c r="BX35" i="15"/>
  <c r="BX31" i="15"/>
  <c r="BX27" i="15"/>
  <c r="BX23" i="15"/>
  <c r="BX19" i="15"/>
  <c r="BX15" i="15"/>
  <c r="BX11" i="15"/>
  <c r="BX7" i="15"/>
  <c r="BX89" i="15"/>
  <c r="BX85" i="15"/>
  <c r="BX81" i="15"/>
  <c r="BX77" i="15"/>
  <c r="BX73" i="15"/>
  <c r="BX69" i="15"/>
  <c r="BX65" i="15"/>
  <c r="BX61" i="15"/>
  <c r="BX57" i="15"/>
  <c r="BX53" i="15"/>
  <c r="BX49" i="15"/>
  <c r="BX45" i="15"/>
  <c r="BX41" i="15"/>
  <c r="BX37" i="15"/>
  <c r="BX33" i="15"/>
  <c r="BX29" i="15"/>
  <c r="BX25" i="15"/>
  <c r="BX21" i="15"/>
  <c r="BX17" i="15"/>
  <c r="BX13" i="15"/>
  <c r="BX9" i="15"/>
  <c r="BX5" i="15"/>
  <c r="I5" i="18"/>
  <c r="Y5" i="18"/>
  <c r="Q5" i="18"/>
  <c r="L18" i="13"/>
  <c r="AZ47" i="15" s="1"/>
  <c r="L79" i="13"/>
  <c r="AZ15" i="15" s="1"/>
  <c r="L6" i="13"/>
  <c r="AZ16" i="15" s="1"/>
  <c r="L63" i="13"/>
  <c r="AZ14" i="15" s="1"/>
  <c r="L77" i="13"/>
  <c r="AZ86" i="15" s="1"/>
  <c r="L11" i="13"/>
  <c r="AZ35" i="15" s="1"/>
  <c r="L10" i="13"/>
  <c r="AZ39" i="15" s="1"/>
  <c r="I6" i="18"/>
  <c r="W29" i="12"/>
  <c r="W33" i="12"/>
  <c r="I9" i="18"/>
  <c r="W21" i="12"/>
  <c r="W17" i="12"/>
  <c r="I4" i="18"/>
  <c r="A4" i="18"/>
  <c r="A5" i="18"/>
  <c r="A7" i="18"/>
  <c r="A9" i="18"/>
  <c r="A11" i="18"/>
  <c r="A10" i="18"/>
  <c r="A6" i="18"/>
  <c r="A8" i="18"/>
  <c r="O26" i="4"/>
  <c r="A9" i="3"/>
  <c r="A31" i="3"/>
  <c r="A23" i="3"/>
  <c r="A21" i="3"/>
  <c r="A22" i="3"/>
  <c r="A32" i="3"/>
  <c r="A30" i="3"/>
  <c r="A6" i="3"/>
  <c r="A27" i="3"/>
  <c r="A24" i="3"/>
  <c r="A11" i="3"/>
  <c r="A29" i="3"/>
  <c r="A18" i="3"/>
  <c r="A12" i="3"/>
  <c r="A33" i="3"/>
  <c r="A14" i="3"/>
  <c r="A28" i="3"/>
  <c r="A4" i="3"/>
  <c r="A17" i="3"/>
  <c r="A15" i="3"/>
  <c r="A8" i="3"/>
  <c r="A7" i="3"/>
  <c r="A20" i="3"/>
  <c r="A16" i="3"/>
  <c r="A19" i="3"/>
  <c r="A10" i="3"/>
  <c r="J69" i="13"/>
  <c r="AK55" i="15" s="1"/>
  <c r="J6" i="13"/>
  <c r="AK16" i="15" s="1"/>
  <c r="J59" i="13"/>
  <c r="AK84" i="15" s="1"/>
  <c r="L36" i="13"/>
  <c r="AZ32" i="15" s="1"/>
  <c r="M22" i="13"/>
  <c r="AQ71" i="15" s="1"/>
  <c r="G8" i="12"/>
  <c r="T42" i="12"/>
  <c r="J17" i="13"/>
  <c r="AK45" i="15" s="1"/>
  <c r="J35" i="13"/>
  <c r="AK31" i="15" s="1"/>
  <c r="L16" i="13"/>
  <c r="AZ44" i="15" s="1"/>
  <c r="M34" i="13"/>
  <c r="AQ27" i="15" s="1"/>
  <c r="M36" i="13"/>
  <c r="AQ32" i="15" s="1"/>
  <c r="L70" i="13"/>
  <c r="AZ61" i="15" s="1"/>
  <c r="L86" i="13"/>
  <c r="AZ68" i="15" s="1"/>
  <c r="G9" i="12"/>
  <c r="G29" i="12"/>
  <c r="M45" i="13"/>
  <c r="AQ7" i="15" s="1"/>
  <c r="T23" i="12"/>
  <c r="J39" i="13"/>
  <c r="AK63" i="15" s="1"/>
  <c r="T47" i="12"/>
  <c r="M28" i="13"/>
  <c r="AQ83" i="15" s="1"/>
  <c r="M11" i="13"/>
  <c r="AQ35" i="15" s="1"/>
  <c r="J88" i="13"/>
  <c r="AK82" i="15" s="1"/>
  <c r="BT92" i="15"/>
  <c r="K46" i="13"/>
  <c r="W11" i="15" s="1"/>
  <c r="J84" i="13"/>
  <c r="AK60" i="15" s="1"/>
  <c r="K81" i="13"/>
  <c r="W33" i="15" s="1"/>
  <c r="J89" i="13"/>
  <c r="AK87" i="15" s="1"/>
  <c r="J52" i="13"/>
  <c r="AK28" i="15" s="1"/>
  <c r="J13" i="13"/>
  <c r="AK37" i="15" s="1"/>
  <c r="G15" i="12"/>
  <c r="L5" i="13"/>
  <c r="AZ12" i="15" s="1"/>
  <c r="L71" i="13"/>
  <c r="AZ65" i="15" s="1"/>
  <c r="J73" i="13"/>
  <c r="AK78" i="15" s="1"/>
  <c r="G42" i="13"/>
  <c r="E77" i="15" s="1"/>
  <c r="G10" i="13"/>
  <c r="E39" i="15" s="1"/>
  <c r="G71" i="13"/>
  <c r="E65" i="15" s="1"/>
  <c r="G88" i="13"/>
  <c r="E82" i="15" s="1"/>
  <c r="G58" i="13"/>
  <c r="E62" i="15" s="1"/>
  <c r="G18" i="13"/>
  <c r="E47" i="15" s="1"/>
  <c r="G72" i="13"/>
  <c r="E66" i="15" s="1"/>
  <c r="G9" i="13"/>
  <c r="N9" i="13" s="1"/>
  <c r="AT34" i="15" s="1"/>
  <c r="G75" i="13"/>
  <c r="N75" i="13" s="1"/>
  <c r="AT81" i="15" s="1"/>
  <c r="G21" i="13"/>
  <c r="E70" i="15" s="1"/>
  <c r="G33" i="13"/>
  <c r="E26" i="15" s="1"/>
  <c r="G40" i="13"/>
  <c r="E67" i="15" s="1"/>
  <c r="G70" i="13"/>
  <c r="E61" i="15" s="1"/>
  <c r="G8" i="13"/>
  <c r="E29" i="15" s="1"/>
  <c r="G13" i="13"/>
  <c r="E37" i="15" s="1"/>
  <c r="G16" i="13"/>
  <c r="E44" i="15" s="1"/>
  <c r="G34" i="13"/>
  <c r="N34" i="13" s="1"/>
  <c r="AT27" i="15" s="1"/>
  <c r="G83" i="13"/>
  <c r="E58" i="15" s="1"/>
  <c r="G50" i="13"/>
  <c r="N50" i="13" s="1"/>
  <c r="AT24" i="15" s="1"/>
  <c r="G19" i="13"/>
  <c r="E54" i="15" s="1"/>
  <c r="G62" i="13"/>
  <c r="E10" i="15" s="1"/>
  <c r="G25" i="13"/>
  <c r="E74" i="15" s="1"/>
  <c r="G66" i="13"/>
  <c r="N66" i="13" s="1"/>
  <c r="AT50" i="15" s="1"/>
  <c r="G55" i="13"/>
  <c r="E52" i="15" s="1"/>
  <c r="G26" i="13"/>
  <c r="E75" i="15" s="1"/>
  <c r="G53" i="13"/>
  <c r="E30" i="15" s="1"/>
  <c r="G79" i="13"/>
  <c r="N79" i="13" s="1"/>
  <c r="AT15" i="15" s="1"/>
  <c r="G22" i="13"/>
  <c r="E71" i="15" s="1"/>
  <c r="G69" i="13"/>
  <c r="E55" i="15" s="1"/>
  <c r="G3" i="13"/>
  <c r="E3" i="15" s="1"/>
  <c r="G44" i="13"/>
  <c r="E89" i="15" s="1"/>
  <c r="G60" i="13"/>
  <c r="E8" i="15" s="1"/>
  <c r="G87" i="13"/>
  <c r="E80" i="15" s="1"/>
  <c r="N10" i="13"/>
  <c r="AT39" i="15" s="1"/>
  <c r="G36" i="13"/>
  <c r="E32" i="15" s="1"/>
  <c r="G91" i="13"/>
  <c r="E91" i="15" s="1"/>
  <c r="G5" i="13"/>
  <c r="E12" i="15" s="1"/>
  <c r="G48" i="13"/>
  <c r="E21" i="15" s="1"/>
  <c r="G77" i="13"/>
  <c r="E86" i="15" s="1"/>
  <c r="G86" i="13"/>
  <c r="E68" i="15" s="1"/>
  <c r="G6" i="13"/>
  <c r="E16" i="15" s="1"/>
  <c r="G38" i="13"/>
  <c r="E48" i="15" s="1"/>
  <c r="G59" i="13"/>
  <c r="E84" i="15" s="1"/>
  <c r="G51" i="13"/>
  <c r="E25" i="15" s="1"/>
  <c r="G85" i="13"/>
  <c r="E64" i="15" s="1"/>
  <c r="G52" i="13"/>
  <c r="E28" i="15" s="1"/>
  <c r="G11" i="13"/>
  <c r="E35" i="15" s="1"/>
  <c r="G63" i="13"/>
  <c r="E14" i="15" s="1"/>
  <c r="G84" i="13"/>
  <c r="E60" i="15" s="1"/>
  <c r="G35" i="13"/>
  <c r="E31" i="15" s="1"/>
  <c r="G65" i="13"/>
  <c r="E46" i="15" s="1"/>
  <c r="G17" i="13"/>
  <c r="N17" i="13" s="1"/>
  <c r="AT45" i="15" s="1"/>
  <c r="G74" i="13"/>
  <c r="N74" i="13" s="1"/>
  <c r="AT79" i="15" s="1"/>
  <c r="G20" i="13"/>
  <c r="E57" i="15" s="1"/>
  <c r="G46" i="13"/>
  <c r="E11" i="15" s="1"/>
  <c r="G80" i="13"/>
  <c r="E20" i="15" s="1"/>
  <c r="G27" i="13"/>
  <c r="E76" i="15" s="1"/>
  <c r="G37" i="13"/>
  <c r="N37" i="13" s="1"/>
  <c r="AT43" i="15" s="1"/>
  <c r="G57" i="13"/>
  <c r="E59" i="15" s="1"/>
  <c r="G32" i="13"/>
  <c r="E23" i="15" s="1"/>
  <c r="G12" i="13"/>
  <c r="G45" i="13"/>
  <c r="E7" i="15" s="1"/>
  <c r="G90" i="13"/>
  <c r="E90" i="15" s="1"/>
  <c r="G30" i="13"/>
  <c r="E6" i="15" s="1"/>
  <c r="G49" i="13"/>
  <c r="N49" i="13" s="1"/>
  <c r="AT22" i="15" s="1"/>
  <c r="G64" i="13"/>
  <c r="E42" i="15" s="1"/>
  <c r="BU92" i="15"/>
  <c r="BV92" i="15"/>
  <c r="BW92" i="15"/>
  <c r="BX3" i="15"/>
  <c r="BX92" i="15" s="1"/>
  <c r="K26" i="4"/>
  <c r="N73" i="13"/>
  <c r="AT78" i="15" s="1"/>
  <c r="K89" i="13"/>
  <c r="W87" i="15" s="1"/>
  <c r="K90" i="13"/>
  <c r="W90" i="15" s="1"/>
  <c r="K47" i="13"/>
  <c r="W17" i="15" s="1"/>
  <c r="J68" i="13"/>
  <c r="AK53" i="15" s="1"/>
  <c r="J7" i="13"/>
  <c r="AK18" i="15" s="1"/>
  <c r="J67" i="13"/>
  <c r="AK51" i="15" s="1"/>
  <c r="G23" i="12"/>
  <c r="J83" i="13"/>
  <c r="AK58" i="15" s="1"/>
  <c r="J29" i="13"/>
  <c r="AK5" i="15" s="1"/>
  <c r="K79" i="13"/>
  <c r="W15" i="15" s="1"/>
  <c r="K74" i="13"/>
  <c r="W79" i="15" s="1"/>
  <c r="J46" i="13"/>
  <c r="AK11" i="15" s="1"/>
  <c r="J32" i="13"/>
  <c r="AK23" i="15" s="1"/>
  <c r="G11" i="12"/>
  <c r="J40" i="13"/>
  <c r="AK67" i="15" s="1"/>
  <c r="L67" i="13"/>
  <c r="AZ51" i="15" s="1"/>
  <c r="L82" i="13"/>
  <c r="AZ49" i="15" s="1"/>
  <c r="M13" i="13"/>
  <c r="AQ37" i="15" s="1"/>
  <c r="T33" i="12"/>
  <c r="M85" i="13"/>
  <c r="AQ64" i="15" s="1"/>
  <c r="M88" i="13"/>
  <c r="AQ82" i="15" s="1"/>
  <c r="T25" i="12"/>
  <c r="M46" i="13"/>
  <c r="AQ11" i="15" s="1"/>
  <c r="M68" i="13"/>
  <c r="AQ53" i="15" s="1"/>
  <c r="T21" i="12"/>
  <c r="J26" i="4"/>
  <c r="BD83" i="15"/>
  <c r="BP83" i="15" s="1"/>
  <c r="BD71" i="15"/>
  <c r="BP71" i="15" s="1"/>
  <c r="BD51" i="15"/>
  <c r="BD19" i="15"/>
  <c r="BD15" i="15"/>
  <c r="BP15" i="15" s="1"/>
  <c r="BD11" i="15"/>
  <c r="BP11" i="15" s="1"/>
  <c r="BD7" i="15"/>
  <c r="BE76" i="15"/>
  <c r="BQ76" i="15" s="1"/>
  <c r="BE72" i="15"/>
  <c r="BQ72" i="15" s="1"/>
  <c r="BE48" i="15"/>
  <c r="BQ48" i="15" s="1"/>
  <c r="BE32" i="15"/>
  <c r="BQ32" i="15" s="1"/>
  <c r="BE16" i="15"/>
  <c r="BF45" i="15"/>
  <c r="BR45" i="15" s="1"/>
  <c r="BF9" i="15"/>
  <c r="K77" i="13"/>
  <c r="W86" i="15" s="1"/>
  <c r="BE64" i="15"/>
  <c r="BQ64" i="15" s="1"/>
  <c r="BE91" i="15"/>
  <c r="BQ91" i="15" s="1"/>
  <c r="BE87" i="15"/>
  <c r="BE83" i="15"/>
  <c r="BQ83" i="15" s="1"/>
  <c r="BE79" i="15"/>
  <c r="BQ79" i="15" s="1"/>
  <c r="BE75" i="15"/>
  <c r="BQ75" i="15" s="1"/>
  <c r="BE71" i="15"/>
  <c r="BQ71" i="15" s="1"/>
  <c r="BE67" i="15"/>
  <c r="BQ67" i="15" s="1"/>
  <c r="BE63" i="15"/>
  <c r="BQ63" i="15" s="1"/>
  <c r="BE59" i="15"/>
  <c r="BQ59" i="15" s="1"/>
  <c r="BE55" i="15"/>
  <c r="BE51" i="15"/>
  <c r="BQ51" i="15" s="1"/>
  <c r="BE47" i="15"/>
  <c r="BQ47" i="15" s="1"/>
  <c r="BE43" i="15"/>
  <c r="BQ43" i="15" s="1"/>
  <c r="BE39" i="15"/>
  <c r="BE35" i="15"/>
  <c r="BQ35" i="15" s="1"/>
  <c r="BE31" i="15"/>
  <c r="BQ31" i="15" s="1"/>
  <c r="BE27" i="15"/>
  <c r="BQ27" i="15" s="1"/>
  <c r="BE23" i="15"/>
  <c r="BE19" i="15"/>
  <c r="BQ19" i="15" s="1"/>
  <c r="BE15" i="15"/>
  <c r="BQ15" i="15" s="1"/>
  <c r="BE11" i="15"/>
  <c r="BQ11" i="15" s="1"/>
  <c r="BE7" i="15"/>
  <c r="BQ7" i="15" s="1"/>
  <c r="BE3" i="15"/>
  <c r="BQ3" i="15" s="1"/>
  <c r="BF76" i="15"/>
  <c r="BR76" i="15" s="1"/>
  <c r="BF72" i="15"/>
  <c r="BF64" i="15"/>
  <c r="BF60" i="15"/>
  <c r="BR60" i="15" s="1"/>
  <c r="BF52" i="15"/>
  <c r="BR52" i="15" s="1"/>
  <c r="BF44" i="15"/>
  <c r="BF40" i="15"/>
  <c r="BR40" i="15" s="1"/>
  <c r="BF32" i="15"/>
  <c r="BR32" i="15" s="1"/>
  <c r="BF28" i="15"/>
  <c r="BF20" i="15"/>
  <c r="BR20" i="15" s="1"/>
  <c r="BF12" i="15"/>
  <c r="BR12" i="15" s="1"/>
  <c r="BF8" i="15"/>
  <c r="BR8" i="15" s="1"/>
  <c r="BF35" i="15"/>
  <c r="BR35" i="15" s="1"/>
  <c r="BD85" i="15"/>
  <c r="BD69" i="15"/>
  <c r="BD21" i="15"/>
  <c r="BP21" i="15" s="1"/>
  <c r="BD5" i="15"/>
  <c r="BP5" i="15" s="1"/>
  <c r="BF91" i="15"/>
  <c r="BR91" i="15" s="1"/>
  <c r="BF71" i="15"/>
  <c r="BR71" i="15" s="1"/>
  <c r="BF55" i="15"/>
  <c r="BR55" i="15" s="1"/>
  <c r="BF51" i="15"/>
  <c r="BR51" i="15" s="1"/>
  <c r="BF43" i="15"/>
  <c r="BF27" i="15"/>
  <c r="BR27" i="15" s="1"/>
  <c r="BF23" i="15"/>
  <c r="BF15" i="15"/>
  <c r="BR15" i="15" s="1"/>
  <c r="BF11" i="15"/>
  <c r="BF7" i="15"/>
  <c r="BR7" i="15" s="1"/>
  <c r="BF3" i="15"/>
  <c r="BR3" i="15" s="1"/>
  <c r="BD56" i="15"/>
  <c r="BP56" i="15" s="1"/>
  <c r="BD40" i="15"/>
  <c r="BE29" i="15"/>
  <c r="BD24" i="15"/>
  <c r="BD76" i="15"/>
  <c r="BP76" i="15" s="1"/>
  <c r="BD64" i="15"/>
  <c r="BP64" i="15" s="1"/>
  <c r="BD60" i="15"/>
  <c r="BP60" i="15" s="1"/>
  <c r="BD48" i="15"/>
  <c r="BP48" i="15" s="1"/>
  <c r="BD32" i="15"/>
  <c r="BP32" i="15" s="1"/>
  <c r="BD28" i="15"/>
  <c r="BP28" i="15" s="1"/>
  <c r="BD16" i="15"/>
  <c r="BP16" i="15" s="1"/>
  <c r="BD8" i="15"/>
  <c r="BP8" i="15" s="1"/>
  <c r="BE81" i="15"/>
  <c r="BQ81" i="15" s="1"/>
  <c r="BF73" i="15"/>
  <c r="BR73" i="15" s="1"/>
  <c r="BM92" i="15"/>
  <c r="BD91" i="15"/>
  <c r="BP91" i="15" s="1"/>
  <c r="BD47" i="15"/>
  <c r="BP47" i="15" s="1"/>
  <c r="BQ23" i="15"/>
  <c r="BR72" i="15"/>
  <c r="BR28" i="15"/>
  <c r="BF87" i="15"/>
  <c r="BF83" i="15"/>
  <c r="BR83" i="15" s="1"/>
  <c r="BF79" i="15"/>
  <c r="BR79" i="15" s="1"/>
  <c r="BF75" i="15"/>
  <c r="BR75" i="15" s="1"/>
  <c r="BF67" i="15"/>
  <c r="BF63" i="15"/>
  <c r="BR63" i="15" s="1"/>
  <c r="BF59" i="15"/>
  <c r="BR59" i="15" s="1"/>
  <c r="BF47" i="15"/>
  <c r="BR47" i="15" s="1"/>
  <c r="BF39" i="15"/>
  <c r="BF31" i="15"/>
  <c r="BR31" i="15" s="1"/>
  <c r="BF19" i="15"/>
  <c r="BR19" i="15" s="1"/>
  <c r="BD84" i="15"/>
  <c r="BP84" i="15" s="1"/>
  <c r="BD68" i="15"/>
  <c r="BD36" i="15"/>
  <c r="BP36" i="15" s="1"/>
  <c r="BD20" i="15"/>
  <c r="BP20" i="15" s="1"/>
  <c r="BD12" i="15"/>
  <c r="BP12" i="15" s="1"/>
  <c r="BD4" i="15"/>
  <c r="BE61" i="15"/>
  <c r="BQ55" i="15"/>
  <c r="BC92" i="15"/>
  <c r="BD88" i="15"/>
  <c r="BP88" i="15" s="1"/>
  <c r="BQ87" i="15"/>
  <c r="BB92" i="15"/>
  <c r="BA92" i="15"/>
  <c r="BR11" i="15"/>
  <c r="BD87" i="15"/>
  <c r="BP87" i="15" s="1"/>
  <c r="BD79" i="15"/>
  <c r="BP79" i="15" s="1"/>
  <c r="BD75" i="15"/>
  <c r="BP75" i="15" s="1"/>
  <c r="BD67" i="15"/>
  <c r="BP67" i="15" s="1"/>
  <c r="BD63" i="15"/>
  <c r="BP63" i="15" s="1"/>
  <c r="BD59" i="15"/>
  <c r="BP59" i="15" s="1"/>
  <c r="BD55" i="15"/>
  <c r="BP55" i="15" s="1"/>
  <c r="BD43" i="15"/>
  <c r="BP43" i="15" s="1"/>
  <c r="BD39" i="15"/>
  <c r="BP39" i="15" s="1"/>
  <c r="BD35" i="15"/>
  <c r="BP35" i="15" s="1"/>
  <c r="BD31" i="15"/>
  <c r="BP31" i="15" s="1"/>
  <c r="BD27" i="15"/>
  <c r="BP27" i="15" s="1"/>
  <c r="BD23" i="15"/>
  <c r="BP23" i="15" s="1"/>
  <c r="BD3" i="15"/>
  <c r="BP3" i="15" s="1"/>
  <c r="BE77" i="15"/>
  <c r="BQ77" i="15" s="1"/>
  <c r="BE65" i="15"/>
  <c r="BQ65" i="15" s="1"/>
  <c r="BE49" i="15"/>
  <c r="BQ49" i="15" s="1"/>
  <c r="BE45" i="15"/>
  <c r="BQ45" i="15" s="1"/>
  <c r="BE33" i="15"/>
  <c r="BQ33" i="15" s="1"/>
  <c r="BE17" i="15"/>
  <c r="BQ17" i="15" s="1"/>
  <c r="BE13" i="15"/>
  <c r="BQ13" i="15" s="1"/>
  <c r="BH92" i="15"/>
  <c r="BJ92" i="15"/>
  <c r="BE88" i="15"/>
  <c r="BE80" i="15"/>
  <c r="BE60" i="15"/>
  <c r="BQ60" i="15" s="1"/>
  <c r="BE56" i="15"/>
  <c r="BQ56" i="15" s="1"/>
  <c r="BE52" i="15"/>
  <c r="BQ52" i="15" s="1"/>
  <c r="BE44" i="15"/>
  <c r="BQ44" i="15" s="1"/>
  <c r="BE40" i="15"/>
  <c r="BQ40" i="15" s="1"/>
  <c r="BE36" i="15"/>
  <c r="BQ36" i="15" s="1"/>
  <c r="BE28" i="15"/>
  <c r="BQ28" i="15" s="1"/>
  <c r="BE24" i="15"/>
  <c r="BQ24" i="15" s="1"/>
  <c r="BE20" i="15"/>
  <c r="BQ20" i="15" s="1"/>
  <c r="BE12" i="15"/>
  <c r="BQ12" i="15" s="1"/>
  <c r="BE8" i="15"/>
  <c r="BE4" i="15"/>
  <c r="BQ4" i="15" s="1"/>
  <c r="BF77" i="15"/>
  <c r="BR77" i="15" s="1"/>
  <c r="BF41" i="15"/>
  <c r="BR41" i="15" s="1"/>
  <c r="BF13" i="15"/>
  <c r="BR13" i="15" s="1"/>
  <c r="BQ39" i="15"/>
  <c r="E27" i="15"/>
  <c r="K78" i="13"/>
  <c r="W13" i="15" s="1"/>
  <c r="J75" i="13"/>
  <c r="AK81" i="15" s="1"/>
  <c r="J79" i="13"/>
  <c r="AK15" i="15" s="1"/>
  <c r="G30" i="12"/>
  <c r="J87" i="13"/>
  <c r="AK80" i="15" s="1"/>
  <c r="J65" i="13"/>
  <c r="AK46" i="15" s="1"/>
  <c r="L78" i="13"/>
  <c r="AZ13" i="15" s="1"/>
  <c r="L75" i="13"/>
  <c r="AZ81" i="15" s="1"/>
  <c r="L80" i="13"/>
  <c r="AZ20" i="15" s="1"/>
  <c r="L64" i="13"/>
  <c r="AZ42" i="15" s="1"/>
  <c r="L62" i="13"/>
  <c r="AZ10" i="15" s="1"/>
  <c r="T24" i="12"/>
  <c r="M41" i="13"/>
  <c r="AQ69" i="15" s="1"/>
  <c r="T20" i="12"/>
  <c r="M79" i="13"/>
  <c r="AQ15" i="15" s="1"/>
  <c r="M18" i="13"/>
  <c r="AQ47" i="15" s="1"/>
  <c r="M78" i="13"/>
  <c r="AQ13" i="15" s="1"/>
  <c r="M33" i="13"/>
  <c r="AQ26" i="15" s="1"/>
  <c r="T8" i="12"/>
  <c r="M3" i="13"/>
  <c r="AQ3" i="15" s="1"/>
  <c r="G26" i="12"/>
  <c r="J74" i="13"/>
  <c r="AK79" i="15" s="1"/>
  <c r="J38" i="13"/>
  <c r="AK48" i="15" s="1"/>
  <c r="G18" i="12"/>
  <c r="J90" i="13"/>
  <c r="AK90" i="15" s="1"/>
  <c r="J64" i="13"/>
  <c r="AK42" i="15" s="1"/>
  <c r="J62" i="13"/>
  <c r="AK10" i="15" s="1"/>
  <c r="J66" i="13"/>
  <c r="AK50" i="15" s="1"/>
  <c r="L85" i="13"/>
  <c r="AZ64" i="15" s="1"/>
  <c r="L72" i="13"/>
  <c r="AZ66" i="15" s="1"/>
  <c r="L66" i="13"/>
  <c r="AZ50" i="15" s="1"/>
  <c r="L81" i="13"/>
  <c r="AZ33" i="15" s="1"/>
  <c r="N39" i="13"/>
  <c r="AT63" i="15" s="1"/>
  <c r="E63" i="15"/>
  <c r="L44" i="13"/>
  <c r="AZ89" i="15" s="1"/>
  <c r="L48" i="13"/>
  <c r="AZ21" i="15" s="1"/>
  <c r="L3" i="13"/>
  <c r="AZ3" i="15" s="1"/>
  <c r="N18" i="13"/>
  <c r="AT47" i="15" s="1"/>
  <c r="J14" i="13"/>
  <c r="AK40" i="15" s="1"/>
  <c r="J78" i="13"/>
  <c r="AK13" i="15" s="1"/>
  <c r="G13" i="12"/>
  <c r="J82" i="13"/>
  <c r="AK49" i="15" s="1"/>
  <c r="G25" i="12"/>
  <c r="J71" i="13"/>
  <c r="AK65" i="15" s="1"/>
  <c r="J76" i="13"/>
  <c r="AK85" i="15" s="1"/>
  <c r="J86" i="13"/>
  <c r="AK68" i="15" s="1"/>
  <c r="J70" i="13"/>
  <c r="AK61" i="15" s="1"/>
  <c r="J49" i="13"/>
  <c r="AK22" i="15" s="1"/>
  <c r="J9" i="13"/>
  <c r="AK34" i="15" s="1"/>
  <c r="L7" i="13"/>
  <c r="AZ18" i="15" s="1"/>
  <c r="L68" i="13"/>
  <c r="AZ53" i="15" s="1"/>
  <c r="L73" i="13"/>
  <c r="AZ78" i="15" s="1"/>
  <c r="L83" i="13"/>
  <c r="AZ58" i="15" s="1"/>
  <c r="L76" i="13"/>
  <c r="AZ85" i="15" s="1"/>
  <c r="L12" i="13"/>
  <c r="AZ36" i="15" s="1"/>
  <c r="L87" i="13"/>
  <c r="AZ80" i="15" s="1"/>
  <c r="L91" i="13"/>
  <c r="AZ91" i="15" s="1"/>
  <c r="L88" i="13"/>
  <c r="AZ82" i="15" s="1"/>
  <c r="L42" i="13"/>
  <c r="AZ77" i="15" s="1"/>
  <c r="M90" i="13"/>
  <c r="AQ90" i="15" s="1"/>
  <c r="M69" i="13"/>
  <c r="AQ55" i="15" s="1"/>
  <c r="T15" i="12"/>
  <c r="M58" i="13"/>
  <c r="AQ62" i="15" s="1"/>
  <c r="T11" i="12"/>
  <c r="G17" i="12"/>
  <c r="J55" i="13"/>
  <c r="AK52" i="15" s="1"/>
  <c r="M57" i="13"/>
  <c r="AQ59" i="15" s="1"/>
  <c r="M70" i="13"/>
  <c r="AQ61" i="15" s="1"/>
  <c r="J91" i="13"/>
  <c r="AK91" i="15" s="1"/>
  <c r="K83" i="13"/>
  <c r="W58" i="15" s="1"/>
  <c r="K76" i="13"/>
  <c r="W85" i="15" s="1"/>
  <c r="Q28" i="12"/>
  <c r="K59" i="13"/>
  <c r="W84" i="15" s="1"/>
  <c r="K82" i="13"/>
  <c r="W49" i="15" s="1"/>
  <c r="BR44" i="15"/>
  <c r="K85" i="13"/>
  <c r="W64" i="15" s="1"/>
  <c r="K87" i="13"/>
  <c r="W80" i="15" s="1"/>
  <c r="BQ80" i="15"/>
  <c r="BQ16" i="15"/>
  <c r="BR64" i="15"/>
  <c r="BD53" i="15"/>
  <c r="BP53" i="15" s="1"/>
  <c r="BD37" i="15"/>
  <c r="BP37" i="15" s="1"/>
  <c r="BE89" i="15"/>
  <c r="BQ89" i="15" s="1"/>
  <c r="BE85" i="15"/>
  <c r="BQ85" i="15" s="1"/>
  <c r="BE73" i="15"/>
  <c r="BQ73" i="15" s="1"/>
  <c r="BE69" i="15"/>
  <c r="BQ69" i="15" s="1"/>
  <c r="BE57" i="15"/>
  <c r="BQ57" i="15" s="1"/>
  <c r="BE53" i="15"/>
  <c r="BQ53" i="15" s="1"/>
  <c r="BE41" i="15"/>
  <c r="BQ41" i="15" s="1"/>
  <c r="BE37" i="15"/>
  <c r="BQ37" i="15" s="1"/>
  <c r="BE25" i="15"/>
  <c r="BQ25" i="15" s="1"/>
  <c r="BE21" i="15"/>
  <c r="BQ21" i="15" s="1"/>
  <c r="BE9" i="15"/>
  <c r="BQ9" i="15" s="1"/>
  <c r="BN92" i="15"/>
  <c r="BO92" i="15"/>
  <c r="BG92" i="15"/>
  <c r="BD80" i="15"/>
  <c r="BP80" i="15" s="1"/>
  <c r="BD72" i="15"/>
  <c r="BP72" i="15" s="1"/>
  <c r="BD52" i="15"/>
  <c r="BP52" i="15" s="1"/>
  <c r="BD44" i="15"/>
  <c r="BP44" i="15" s="1"/>
  <c r="BL92" i="15"/>
  <c r="BE84" i="15"/>
  <c r="BQ84" i="15" s="1"/>
  <c r="BE68" i="15"/>
  <c r="BQ68" i="15" s="1"/>
  <c r="BF89" i="15"/>
  <c r="BR89" i="15" s="1"/>
  <c r="BF61" i="15"/>
  <c r="BR61" i="15" s="1"/>
  <c r="BF57" i="15"/>
  <c r="BR57" i="15" s="1"/>
  <c r="BF29" i="15"/>
  <c r="BR29" i="15" s="1"/>
  <c r="BF25" i="15"/>
  <c r="BR25" i="15" s="1"/>
  <c r="BP68" i="15"/>
  <c r="BP4" i="15"/>
  <c r="BR84" i="15"/>
  <c r="BF88" i="15"/>
  <c r="BR88" i="15" s="1"/>
  <c r="BF80" i="15"/>
  <c r="BR80" i="15" s="1"/>
  <c r="BF68" i="15"/>
  <c r="BR68" i="15" s="1"/>
  <c r="BF56" i="15"/>
  <c r="BR56" i="15" s="1"/>
  <c r="BF48" i="15"/>
  <c r="BR48" i="15" s="1"/>
  <c r="BF36" i="15"/>
  <c r="BR36" i="15" s="1"/>
  <c r="BF24" i="15"/>
  <c r="BR24" i="15" s="1"/>
  <c r="BF16" i="15"/>
  <c r="BR16" i="15" s="1"/>
  <c r="BF4" i="15"/>
  <c r="BR4" i="15" s="1"/>
  <c r="BR43" i="15"/>
  <c r="BR39" i="15"/>
  <c r="BI92" i="15"/>
  <c r="BR87" i="15"/>
  <c r="BR67" i="15"/>
  <c r="BF85" i="15"/>
  <c r="BR85" i="15" s="1"/>
  <c r="BF81" i="15"/>
  <c r="BR81" i="15" s="1"/>
  <c r="BF69" i="15"/>
  <c r="BR69" i="15" s="1"/>
  <c r="BF65" i="15"/>
  <c r="BR65" i="15" s="1"/>
  <c r="BF53" i="15"/>
  <c r="BR53" i="15" s="1"/>
  <c r="BF49" i="15"/>
  <c r="BR49" i="15" s="1"/>
  <c r="BF37" i="15"/>
  <c r="BR37" i="15" s="1"/>
  <c r="BF33" i="15"/>
  <c r="BR33" i="15" s="1"/>
  <c r="BF21" i="15"/>
  <c r="BR21" i="15" s="1"/>
  <c r="BF17" i="15"/>
  <c r="BR17" i="15" s="1"/>
  <c r="BF5" i="15"/>
  <c r="BR5" i="15" s="1"/>
  <c r="BR23" i="15"/>
  <c r="BE46" i="15"/>
  <c r="BQ46" i="15" s="1"/>
  <c r="BE38" i="15"/>
  <c r="BQ38" i="15" s="1"/>
  <c r="BE30" i="15"/>
  <c r="BQ30" i="15" s="1"/>
  <c r="BE22" i="15"/>
  <c r="BQ22" i="15" s="1"/>
  <c r="BE14" i="15"/>
  <c r="BQ14" i="15" s="1"/>
  <c r="BE6" i="15"/>
  <c r="BQ6" i="15" s="1"/>
  <c r="BQ88" i="15"/>
  <c r="BQ8" i="15"/>
  <c r="BE90" i="15"/>
  <c r="BQ90" i="15" s="1"/>
  <c r="BE86" i="15"/>
  <c r="BQ86" i="15" s="1"/>
  <c r="BE82" i="15"/>
  <c r="BQ82" i="15" s="1"/>
  <c r="BE78" i="15"/>
  <c r="BQ78" i="15" s="1"/>
  <c r="BE74" i="15"/>
  <c r="BQ74" i="15" s="1"/>
  <c r="BE70" i="15"/>
  <c r="BQ70" i="15" s="1"/>
  <c r="BE66" i="15"/>
  <c r="BQ66" i="15" s="1"/>
  <c r="BE62" i="15"/>
  <c r="BQ62" i="15" s="1"/>
  <c r="BE58" i="15"/>
  <c r="BQ58" i="15" s="1"/>
  <c r="BE54" i="15"/>
  <c r="BQ54" i="15" s="1"/>
  <c r="BE50" i="15"/>
  <c r="BQ50" i="15" s="1"/>
  <c r="BE42" i="15"/>
  <c r="BQ42" i="15" s="1"/>
  <c r="BE34" i="15"/>
  <c r="BQ34" i="15" s="1"/>
  <c r="BE26" i="15"/>
  <c r="BQ26" i="15" s="1"/>
  <c r="BE18" i="15"/>
  <c r="BQ18" i="15" s="1"/>
  <c r="BE10" i="15"/>
  <c r="BQ10" i="15" s="1"/>
  <c r="BE5" i="15"/>
  <c r="BF90" i="15"/>
  <c r="BR90" i="15" s="1"/>
  <c r="BF82" i="15"/>
  <c r="BR82" i="15" s="1"/>
  <c r="BF74" i="15"/>
  <c r="BR74" i="15" s="1"/>
  <c r="BF66" i="15"/>
  <c r="BR66" i="15" s="1"/>
  <c r="BF58" i="15"/>
  <c r="BR58" i="15" s="1"/>
  <c r="BF50" i="15"/>
  <c r="BR50" i="15" s="1"/>
  <c r="BF46" i="15"/>
  <c r="BR46" i="15" s="1"/>
  <c r="BF38" i="15"/>
  <c r="BR38" i="15" s="1"/>
  <c r="BF30" i="15"/>
  <c r="BR30" i="15" s="1"/>
  <c r="BF22" i="15"/>
  <c r="BR22" i="15" s="1"/>
  <c r="BF18" i="15"/>
  <c r="BR18" i="15" s="1"/>
  <c r="BF14" i="15"/>
  <c r="BR14" i="15" s="1"/>
  <c r="BF6" i="15"/>
  <c r="BR6" i="15" s="1"/>
  <c r="BF86" i="15"/>
  <c r="BR86" i="15" s="1"/>
  <c r="BF78" i="15"/>
  <c r="BR78" i="15" s="1"/>
  <c r="BF70" i="15"/>
  <c r="BR70" i="15" s="1"/>
  <c r="BF62" i="15"/>
  <c r="BR62" i="15" s="1"/>
  <c r="BF54" i="15"/>
  <c r="BR54" i="15" s="1"/>
  <c r="BF42" i="15"/>
  <c r="BR42" i="15" s="1"/>
  <c r="BF34" i="15"/>
  <c r="BR34" i="15" s="1"/>
  <c r="BF26" i="15"/>
  <c r="BR26" i="15" s="1"/>
  <c r="BF10" i="15"/>
  <c r="BR10" i="15" s="1"/>
  <c r="BK92" i="15"/>
  <c r="BD90" i="15"/>
  <c r="BP90" i="15" s="1"/>
  <c r="BD86" i="15"/>
  <c r="BP86" i="15" s="1"/>
  <c r="BD82" i="15"/>
  <c r="BP82" i="15" s="1"/>
  <c r="BD78" i="15"/>
  <c r="BP78" i="15" s="1"/>
  <c r="BD74" i="15"/>
  <c r="BP74" i="15" s="1"/>
  <c r="BD70" i="15"/>
  <c r="BP70" i="15" s="1"/>
  <c r="BD66" i="15"/>
  <c r="BP66" i="15" s="1"/>
  <c r="BD62" i="15"/>
  <c r="BP62" i="15" s="1"/>
  <c r="BD58" i="15"/>
  <c r="BP58" i="15" s="1"/>
  <c r="BD54" i="15"/>
  <c r="BP54" i="15" s="1"/>
  <c r="BD50" i="15"/>
  <c r="BP50" i="15" s="1"/>
  <c r="BD46" i="15"/>
  <c r="BP46" i="15" s="1"/>
  <c r="BD42" i="15"/>
  <c r="BP42" i="15" s="1"/>
  <c r="BD38" i="15"/>
  <c r="BP38" i="15" s="1"/>
  <c r="BD34" i="15"/>
  <c r="BP34" i="15" s="1"/>
  <c r="BD30" i="15"/>
  <c r="BP30" i="15" s="1"/>
  <c r="BD26" i="15"/>
  <c r="BP26" i="15" s="1"/>
  <c r="BD22" i="15"/>
  <c r="BP22" i="15" s="1"/>
  <c r="BD18" i="15"/>
  <c r="BP18" i="15" s="1"/>
  <c r="BD14" i="15"/>
  <c r="BP14" i="15" s="1"/>
  <c r="BD10" i="15"/>
  <c r="BP10" i="15" s="1"/>
  <c r="BD6" i="15"/>
  <c r="BP6" i="15" s="1"/>
  <c r="BP85" i="15"/>
  <c r="BP69" i="15"/>
  <c r="BD89" i="15"/>
  <c r="BP89" i="15" s="1"/>
  <c r="BD81" i="15"/>
  <c r="BP81" i="15" s="1"/>
  <c r="BD77" i="15"/>
  <c r="BP77" i="15" s="1"/>
  <c r="BD73" i="15"/>
  <c r="BP73" i="15" s="1"/>
  <c r="BD65" i="15"/>
  <c r="BP65" i="15" s="1"/>
  <c r="BD61" i="15"/>
  <c r="BP61" i="15" s="1"/>
  <c r="BD57" i="15"/>
  <c r="BP57" i="15" s="1"/>
  <c r="BD49" i="15"/>
  <c r="BP49" i="15" s="1"/>
  <c r="BD45" i="15"/>
  <c r="BP45" i="15" s="1"/>
  <c r="BD41" i="15"/>
  <c r="BP41" i="15" s="1"/>
  <c r="BD33" i="15"/>
  <c r="BP33" i="15" s="1"/>
  <c r="BD29" i="15"/>
  <c r="BP29" i="15" s="1"/>
  <c r="BD25" i="15"/>
  <c r="BP25" i="15" s="1"/>
  <c r="BD17" i="15"/>
  <c r="BP17" i="15" s="1"/>
  <c r="BD13" i="15"/>
  <c r="BP13" i="15" s="1"/>
  <c r="BD9" i="15"/>
  <c r="BP9" i="15" s="1"/>
  <c r="BQ61" i="15"/>
  <c r="BQ29" i="15"/>
  <c r="BR9" i="15"/>
  <c r="BP51" i="15"/>
  <c r="BP40" i="15"/>
  <c r="BP24" i="15"/>
  <c r="BP19" i="15"/>
  <c r="BP7" i="15"/>
  <c r="AV92" i="15"/>
  <c r="AR92" i="15"/>
  <c r="AU92" i="15"/>
  <c r="AW92" i="15"/>
  <c r="AX92" i="15"/>
  <c r="Y27" i="15"/>
  <c r="AL89" i="15"/>
  <c r="AL85" i="15"/>
  <c r="AL81" i="15"/>
  <c r="AL77" i="15"/>
  <c r="AL73" i="15"/>
  <c r="AL69" i="15"/>
  <c r="AL65" i="15"/>
  <c r="AL61" i="15"/>
  <c r="AL57" i="15"/>
  <c r="AL53" i="15"/>
  <c r="AL49" i="15"/>
  <c r="AL45" i="15"/>
  <c r="AL41" i="15"/>
  <c r="AL37" i="15"/>
  <c r="AL33" i="15"/>
  <c r="AL29" i="15"/>
  <c r="AL25" i="15"/>
  <c r="AL21" i="15"/>
  <c r="AL17" i="15"/>
  <c r="AL13" i="15"/>
  <c r="AL9" i="15"/>
  <c r="AL5" i="15"/>
  <c r="Z27" i="15"/>
  <c r="AO92" i="15"/>
  <c r="X91" i="15"/>
  <c r="X87" i="15"/>
  <c r="X83" i="15"/>
  <c r="X71" i="15"/>
  <c r="X59" i="15"/>
  <c r="X55" i="15"/>
  <c r="X51" i="15"/>
  <c r="X27" i="15"/>
  <c r="X19" i="15"/>
  <c r="X15" i="15"/>
  <c r="X11" i="15"/>
  <c r="X7" i="15"/>
  <c r="Y88" i="15"/>
  <c r="Y80" i="15"/>
  <c r="Y76" i="15"/>
  <c r="Y72" i="15"/>
  <c r="Y64" i="15"/>
  <c r="Y60" i="15"/>
  <c r="Y56" i="15"/>
  <c r="Y52" i="15"/>
  <c r="Y48" i="15"/>
  <c r="Y44" i="15"/>
  <c r="Y40" i="15"/>
  <c r="Y36" i="15"/>
  <c r="Y28" i="15"/>
  <c r="Y24" i="15"/>
  <c r="Z43" i="15"/>
  <c r="AL88" i="15"/>
  <c r="AL84" i="15"/>
  <c r="AL80" i="15"/>
  <c r="AL76" i="15"/>
  <c r="AL72" i="15"/>
  <c r="AL68" i="15"/>
  <c r="AL64" i="15"/>
  <c r="AL60" i="15"/>
  <c r="AL56" i="15"/>
  <c r="AL52" i="15"/>
  <c r="AL48" i="15"/>
  <c r="AL44" i="15"/>
  <c r="AL40" i="15"/>
  <c r="AL36" i="15"/>
  <c r="AL32" i="15"/>
  <c r="AL28" i="15"/>
  <c r="AL24" i="15"/>
  <c r="AL20" i="15"/>
  <c r="AL16" i="15"/>
  <c r="AL12" i="15"/>
  <c r="AL8" i="15"/>
  <c r="AL4" i="15"/>
  <c r="Y51" i="15"/>
  <c r="Y11" i="15"/>
  <c r="Y3" i="15"/>
  <c r="Z79" i="15"/>
  <c r="Z75" i="15"/>
  <c r="Z23" i="15"/>
  <c r="AL90" i="15"/>
  <c r="AL86" i="15"/>
  <c r="AL82" i="15"/>
  <c r="AL78" i="15"/>
  <c r="AL74" i="15"/>
  <c r="AL70" i="15"/>
  <c r="AL66" i="15"/>
  <c r="AL62" i="15"/>
  <c r="AL58" i="15"/>
  <c r="AL54" i="15"/>
  <c r="AL50" i="15"/>
  <c r="AL46" i="15"/>
  <c r="AL42" i="15"/>
  <c r="AL38" i="15"/>
  <c r="AL34" i="15"/>
  <c r="AL30" i="15"/>
  <c r="AL26" i="15"/>
  <c r="AL22" i="15"/>
  <c r="AL18" i="15"/>
  <c r="AL14" i="15"/>
  <c r="AL10" i="15"/>
  <c r="AL6" i="15"/>
  <c r="Y83" i="15"/>
  <c r="Y67" i="15"/>
  <c r="Y55" i="15"/>
  <c r="Y15" i="15"/>
  <c r="Y7" i="15"/>
  <c r="Z72" i="15"/>
  <c r="Z56" i="15"/>
  <c r="Z52" i="15"/>
  <c r="Z44" i="15"/>
  <c r="Z40" i="15"/>
  <c r="Z87" i="15"/>
  <c r="Z83" i="15"/>
  <c r="Z67" i="15"/>
  <c r="Z51" i="15"/>
  <c r="Z15" i="15"/>
  <c r="Z11" i="15"/>
  <c r="Z7" i="15"/>
  <c r="Z3" i="15"/>
  <c r="Z88" i="15"/>
  <c r="Z84" i="15"/>
  <c r="Z80" i="15"/>
  <c r="Z76" i="15"/>
  <c r="Z60" i="15"/>
  <c r="Z48" i="15"/>
  <c r="Z36" i="15"/>
  <c r="Z32" i="15"/>
  <c r="Z28" i="15"/>
  <c r="Z24" i="15"/>
  <c r="Z20" i="15"/>
  <c r="Z16" i="15"/>
  <c r="Z4" i="15"/>
  <c r="AL91" i="15"/>
  <c r="AL87" i="15"/>
  <c r="AL83" i="15"/>
  <c r="AL79" i="15"/>
  <c r="AL75" i="15"/>
  <c r="AL71" i="15"/>
  <c r="AL67" i="15"/>
  <c r="AL63" i="15"/>
  <c r="AL59" i="15"/>
  <c r="AL55" i="15"/>
  <c r="AL51" i="15"/>
  <c r="AL47" i="15"/>
  <c r="AL43" i="15"/>
  <c r="AL39" i="15"/>
  <c r="AL35" i="15"/>
  <c r="AL31" i="15"/>
  <c r="AL27" i="15"/>
  <c r="AL23" i="15"/>
  <c r="AL19" i="15"/>
  <c r="AL15" i="15"/>
  <c r="AL11" i="15"/>
  <c r="AL7" i="15"/>
  <c r="AL3" i="15"/>
  <c r="X79" i="15"/>
  <c r="X67" i="15"/>
  <c r="Y32" i="15"/>
  <c r="AB92" i="15"/>
  <c r="AF92" i="15"/>
  <c r="U92" i="15"/>
  <c r="AD92" i="15"/>
  <c r="AG92" i="15"/>
  <c r="AC92" i="15"/>
  <c r="AE92" i="15"/>
  <c r="AH92" i="15"/>
  <c r="I31" i="13"/>
  <c r="T19" i="15" s="1"/>
  <c r="D35" i="12"/>
  <c r="D28" i="12"/>
  <c r="I16" i="13"/>
  <c r="T44" i="15" s="1"/>
  <c r="I81" i="13"/>
  <c r="T33" i="15" s="1"/>
  <c r="D11" i="12"/>
  <c r="I5" i="13"/>
  <c r="T12" i="15" s="1"/>
  <c r="I36" i="13"/>
  <c r="T32" i="15" s="1"/>
  <c r="D29" i="12"/>
  <c r="I58" i="13"/>
  <c r="T62" i="15" s="1"/>
  <c r="I83" i="13"/>
  <c r="T58" i="15" s="1"/>
  <c r="I28" i="13"/>
  <c r="T83" i="15" s="1"/>
  <c r="D25" i="12"/>
  <c r="I42" i="13"/>
  <c r="T77" i="15" s="1"/>
  <c r="I72" i="13"/>
  <c r="T66" i="15" s="1"/>
  <c r="I80" i="13"/>
  <c r="T20" i="15" s="1"/>
  <c r="I89" i="13"/>
  <c r="T87" i="15" s="1"/>
  <c r="I8" i="13"/>
  <c r="T29" i="15" s="1"/>
  <c r="I40" i="13"/>
  <c r="T67" i="15" s="1"/>
  <c r="I54" i="13"/>
  <c r="T38" i="15" s="1"/>
  <c r="Z81" i="15"/>
  <c r="Y33" i="15"/>
  <c r="Y77" i="15"/>
  <c r="Z89" i="15"/>
  <c r="Z13" i="15"/>
  <c r="Y50" i="15"/>
  <c r="Y25" i="15"/>
  <c r="Z5" i="15"/>
  <c r="Y82" i="15"/>
  <c r="Y85" i="15"/>
  <c r="Y73" i="15"/>
  <c r="Y53" i="15"/>
  <c r="Y45" i="15"/>
  <c r="Y37" i="15"/>
  <c r="Y17" i="15"/>
  <c r="Y9" i="15"/>
  <c r="AI92" i="15"/>
  <c r="Z85" i="15"/>
  <c r="Z77" i="15"/>
  <c r="Z45" i="15"/>
  <c r="Z41" i="15"/>
  <c r="Z25" i="15"/>
  <c r="Y90" i="15"/>
  <c r="Y66" i="15"/>
  <c r="Y26" i="15"/>
  <c r="Y22" i="15"/>
  <c r="Y89" i="15"/>
  <c r="Y65" i="15"/>
  <c r="Y13" i="15"/>
  <c r="Y5" i="15"/>
  <c r="Z90" i="15"/>
  <c r="Z70" i="15"/>
  <c r="Z66" i="15"/>
  <c r="Z50" i="15"/>
  <c r="Z42" i="15"/>
  <c r="Z38" i="15"/>
  <c r="Z34" i="15"/>
  <c r="Z22" i="15"/>
  <c r="Z18" i="15"/>
  <c r="Z14" i="15"/>
  <c r="Z10" i="15"/>
  <c r="Z6" i="15"/>
  <c r="Z73" i="15"/>
  <c r="Z69" i="15"/>
  <c r="Z49" i="15"/>
  <c r="Z37" i="15"/>
  <c r="Z33" i="15"/>
  <c r="Z29" i="15"/>
  <c r="Z21" i="15"/>
  <c r="Z17" i="15"/>
  <c r="Z9" i="15"/>
  <c r="Y70" i="15"/>
  <c r="Y38" i="15"/>
  <c r="Y30" i="15"/>
  <c r="Y18" i="15"/>
  <c r="Y14" i="15"/>
  <c r="Y10" i="15"/>
  <c r="Y6" i="15"/>
  <c r="Y81" i="15"/>
  <c r="Y69" i="15"/>
  <c r="Y57" i="15"/>
  <c r="Y49" i="15"/>
  <c r="Y29" i="15"/>
  <c r="Y21" i="15"/>
  <c r="X3" i="15"/>
  <c r="AA92" i="15"/>
  <c r="X35" i="15"/>
  <c r="X88" i="15"/>
  <c r="X84" i="15"/>
  <c r="X80" i="15"/>
  <c r="X64" i="15"/>
  <c r="X32" i="15"/>
  <c r="X40" i="15"/>
  <c r="X89" i="15"/>
  <c r="X65" i="15"/>
  <c r="X48" i="15"/>
  <c r="X44" i="15"/>
  <c r="X24" i="15"/>
  <c r="X60" i="15"/>
  <c r="X52" i="15"/>
  <c r="X28" i="15"/>
  <c r="X76" i="15"/>
  <c r="X72" i="15"/>
  <c r="X36" i="15"/>
  <c r="X9" i="15"/>
  <c r="X17" i="15"/>
  <c r="X13" i="15"/>
  <c r="X5" i="15"/>
  <c r="X66" i="15"/>
  <c r="X54" i="15"/>
  <c r="X42" i="15"/>
  <c r="X26" i="15"/>
  <c r="X18" i="15"/>
  <c r="X69" i="15"/>
  <c r="X61" i="15"/>
  <c r="X49" i="15"/>
  <c r="X45" i="15"/>
  <c r="X33" i="15"/>
  <c r="X90" i="15"/>
  <c r="X82" i="15"/>
  <c r="X74" i="15"/>
  <c r="X70" i="15"/>
  <c r="X62" i="15"/>
  <c r="X50" i="15"/>
  <c r="X30" i="15"/>
  <c r="X22" i="15"/>
  <c r="X14" i="15"/>
  <c r="X10" i="15"/>
  <c r="X6" i="15"/>
  <c r="X85" i="15"/>
  <c r="X81" i="15"/>
  <c r="X73" i="15"/>
  <c r="X57" i="15"/>
  <c r="X41" i="15"/>
  <c r="X29" i="15"/>
  <c r="X25" i="15"/>
  <c r="X21" i="15"/>
  <c r="X38" i="15"/>
  <c r="Z62" i="15"/>
  <c r="Y62" i="15"/>
  <c r="Y54" i="15"/>
  <c r="Z54" i="15"/>
  <c r="Z39" i="15"/>
  <c r="Y39" i="15"/>
  <c r="X39" i="15"/>
  <c r="Z31" i="15"/>
  <c r="Y31" i="15"/>
  <c r="Y16" i="15"/>
  <c r="X16" i="15"/>
  <c r="Z12" i="15"/>
  <c r="Y12" i="15"/>
  <c r="X4" i="15"/>
  <c r="Y35" i="15"/>
  <c r="Y43" i="15"/>
  <c r="Z55" i="15"/>
  <c r="X75" i="15"/>
  <c r="Y23" i="15"/>
  <c r="Z78" i="15"/>
  <c r="Y4" i="15"/>
  <c r="Y8" i="15"/>
  <c r="Y20" i="15"/>
  <c r="Y61" i="15"/>
  <c r="Z35" i="15"/>
  <c r="Z61" i="15"/>
  <c r="Y59" i="15"/>
  <c r="X43" i="15"/>
  <c r="Y87" i="15"/>
  <c r="Z63" i="15"/>
  <c r="Y75" i="15"/>
  <c r="Y47" i="15"/>
  <c r="X31" i="15"/>
  <c r="X47" i="15"/>
  <c r="Y34" i="15"/>
  <c r="X12" i="15"/>
  <c r="Y91" i="15"/>
  <c r="Z71" i="15"/>
  <c r="Y71" i="15"/>
  <c r="Y68" i="15"/>
  <c r="X68" i="15"/>
  <c r="Z57" i="15"/>
  <c r="X53" i="15"/>
  <c r="Z46" i="15"/>
  <c r="X46" i="15"/>
  <c r="Y46" i="15"/>
  <c r="Y42" i="15"/>
  <c r="X34" i="15"/>
  <c r="Z30" i="15"/>
  <c r="Y19" i="15"/>
  <c r="R92" i="15"/>
  <c r="Z58" i="15"/>
  <c r="Y58" i="15"/>
  <c r="X20" i="15"/>
  <c r="Z8" i="15"/>
  <c r="X77" i="15"/>
  <c r="X23" i="15"/>
  <c r="Z47" i="15"/>
  <c r="Z91" i="15"/>
  <c r="Z19" i="15"/>
  <c r="Y79" i="15"/>
  <c r="X8" i="15"/>
  <c r="Z26" i="15"/>
  <c r="Z53" i="15"/>
  <c r="X58" i="15"/>
  <c r="Z65" i="15"/>
  <c r="Z68" i="15"/>
  <c r="X86" i="15"/>
  <c r="Z86" i="15"/>
  <c r="Z82" i="15"/>
  <c r="X78" i="15"/>
  <c r="Y78" i="15"/>
  <c r="Y74" i="15"/>
  <c r="Z74" i="15"/>
  <c r="Z64" i="15"/>
  <c r="Y41" i="15"/>
  <c r="X37" i="15"/>
  <c r="Y63" i="15"/>
  <c r="X63" i="15"/>
  <c r="Z59" i="15"/>
  <c r="Y84" i="15"/>
  <c r="X56" i="15"/>
  <c r="Y86" i="15"/>
  <c r="A7" i="12"/>
  <c r="N47" i="13"/>
  <c r="AT17" i="15" s="1"/>
  <c r="N68" i="13"/>
  <c r="AT53" i="15" s="1"/>
  <c r="G15" i="13"/>
  <c r="E41" i="15" s="1"/>
  <c r="G41" i="13"/>
  <c r="E69" i="15" s="1"/>
  <c r="G67" i="13"/>
  <c r="E51" i="15" s="1"/>
  <c r="N56" i="13"/>
  <c r="AT56" i="15" s="1"/>
  <c r="N81" i="13"/>
  <c r="AT33" i="15" s="1"/>
  <c r="N28" i="13"/>
  <c r="AT83" i="15" s="1"/>
  <c r="G29" i="13"/>
  <c r="E5" i="15" s="1"/>
  <c r="G14" i="13"/>
  <c r="E40" i="15" s="1"/>
  <c r="G76" i="13"/>
  <c r="E85" i="15" s="1"/>
  <c r="G7" i="13"/>
  <c r="E18" i="15" s="1"/>
  <c r="G54" i="13"/>
  <c r="E38" i="15" s="1"/>
  <c r="G89" i="13"/>
  <c r="E87" i="15" s="1"/>
  <c r="G43" i="13"/>
  <c r="E88" i="15" s="1"/>
  <c r="G82" i="13"/>
  <c r="E49" i="15" s="1"/>
  <c r="G4" i="13"/>
  <c r="E4" i="15" s="1"/>
  <c r="G31" i="13"/>
  <c r="E19" i="15" s="1"/>
  <c r="G61" i="13"/>
  <c r="E9" i="15" s="1"/>
  <c r="F34" i="13"/>
  <c r="F27" i="15" s="1"/>
  <c r="F32" i="13"/>
  <c r="F23" i="15" s="1"/>
  <c r="F41" i="13"/>
  <c r="F69" i="15" s="1"/>
  <c r="F43" i="13"/>
  <c r="F88" i="15" s="1"/>
  <c r="F39" i="13"/>
  <c r="F63" i="15" s="1"/>
  <c r="F29" i="13"/>
  <c r="F5" i="15" s="1"/>
  <c r="F44" i="13"/>
  <c r="F89" i="15" s="1"/>
  <c r="F36" i="13"/>
  <c r="F32" i="15" s="1"/>
  <c r="F30" i="13"/>
  <c r="F6" i="15" s="1"/>
  <c r="F37" i="13"/>
  <c r="F43" i="15" s="1"/>
  <c r="F40" i="13"/>
  <c r="F67" i="15" s="1"/>
  <c r="F42" i="13"/>
  <c r="F77" i="15" s="1"/>
  <c r="F33" i="13"/>
  <c r="F26" i="15" s="1"/>
  <c r="F31" i="13"/>
  <c r="F19" i="15" s="1"/>
  <c r="F60" i="13"/>
  <c r="F8" i="15" s="1"/>
  <c r="F91" i="13"/>
  <c r="F91" i="15" s="1"/>
  <c r="F90" i="13"/>
  <c r="F90" i="15" s="1"/>
  <c r="F88" i="13"/>
  <c r="F82" i="15" s="1"/>
  <c r="F86" i="13"/>
  <c r="F68" i="15" s="1"/>
  <c r="F80" i="13"/>
  <c r="F20" i="15" s="1"/>
  <c r="F83" i="13"/>
  <c r="F58" i="15" s="1"/>
  <c r="F85" i="13"/>
  <c r="F64" i="15" s="1"/>
  <c r="F82" i="13"/>
  <c r="F49" i="15" s="1"/>
  <c r="F79" i="13"/>
  <c r="F15" i="15" s="1"/>
  <c r="F84" i="13"/>
  <c r="F60" i="15" s="1"/>
  <c r="F89" i="13"/>
  <c r="F87" i="15" s="1"/>
  <c r="F78" i="13"/>
  <c r="F13" i="15" s="1"/>
  <c r="F38" i="13"/>
  <c r="F48" i="15" s="1"/>
  <c r="F35" i="13"/>
  <c r="F31" i="15" s="1"/>
  <c r="F87" i="13"/>
  <c r="F80" i="15" s="1"/>
  <c r="F49" i="13"/>
  <c r="F22" i="15" s="1"/>
  <c r="F52" i="13"/>
  <c r="F28" i="15" s="1"/>
  <c r="F54" i="13"/>
  <c r="F38" i="15" s="1"/>
  <c r="F57" i="13"/>
  <c r="F59" i="15" s="1"/>
  <c r="W36" i="12"/>
  <c r="M64" i="13"/>
  <c r="AQ42" i="15" s="1"/>
  <c r="M26" i="13"/>
  <c r="AQ75" i="15" s="1"/>
  <c r="M23" i="13"/>
  <c r="AQ72" i="15" s="1"/>
  <c r="M24" i="13"/>
  <c r="AQ73" i="15" s="1"/>
  <c r="T46" i="12"/>
  <c r="T38" i="12"/>
  <c r="M17" i="13"/>
  <c r="AQ45" i="15" s="1"/>
  <c r="M73" i="13"/>
  <c r="AQ78" i="15" s="1"/>
  <c r="M84" i="13"/>
  <c r="AQ60" i="15" s="1"/>
  <c r="M56" i="13"/>
  <c r="AQ56" i="15" s="1"/>
  <c r="T40" i="12"/>
  <c r="M66" i="13"/>
  <c r="AQ50" i="15" s="1"/>
  <c r="L45" i="13"/>
  <c r="AZ7" i="15" s="1"/>
  <c r="L58" i="13"/>
  <c r="AZ62" i="15" s="1"/>
  <c r="L69" i="13"/>
  <c r="AZ55" i="15" s="1"/>
  <c r="L89" i="13"/>
  <c r="AZ87" i="15" s="1"/>
  <c r="L60" i="13"/>
  <c r="AZ8" i="15" s="1"/>
  <c r="L53" i="13"/>
  <c r="AZ30" i="15" s="1"/>
  <c r="L65" i="13"/>
  <c r="AZ46" i="15" s="1"/>
  <c r="J31" i="13"/>
  <c r="AK19" i="15" s="1"/>
  <c r="J54" i="13"/>
  <c r="AK38" i="15" s="1"/>
  <c r="G22" i="12"/>
  <c r="J16" i="13"/>
  <c r="AK44" i="15" s="1"/>
  <c r="G16" i="12"/>
  <c r="G20" i="12"/>
  <c r="I53" i="13"/>
  <c r="T30" i="15" s="1"/>
  <c r="I79" i="13"/>
  <c r="T15" i="15" s="1"/>
  <c r="I20" i="13"/>
  <c r="T57" i="15" s="1"/>
  <c r="I32" i="13"/>
  <c r="T23" i="15" s="1"/>
  <c r="D34" i="12"/>
  <c r="I11" i="13"/>
  <c r="T35" i="15" s="1"/>
  <c r="I3" i="13"/>
  <c r="T3" i="15" s="1"/>
  <c r="D22" i="12"/>
  <c r="I38" i="13"/>
  <c r="T48" i="15" s="1"/>
  <c r="I49" i="13"/>
  <c r="T22" i="15" s="1"/>
  <c r="D6" i="12"/>
  <c r="I39" i="13"/>
  <c r="T63" i="15" s="1"/>
  <c r="I43" i="13"/>
  <c r="T88" i="15" s="1"/>
  <c r="I59" i="13"/>
  <c r="T84" i="15" s="1"/>
  <c r="I68" i="13"/>
  <c r="T53" i="15" s="1"/>
  <c r="I69" i="13"/>
  <c r="T55" i="15" s="1"/>
  <c r="I71" i="13"/>
  <c r="T65" i="15" s="1"/>
  <c r="I84" i="13"/>
  <c r="T60" i="15" s="1"/>
  <c r="I47" i="13"/>
  <c r="T17" i="15" s="1"/>
  <c r="I12" i="13"/>
  <c r="T36" i="15" s="1"/>
  <c r="D24" i="12"/>
  <c r="I48" i="13"/>
  <c r="T21" i="15" s="1"/>
  <c r="K66" i="13"/>
  <c r="W50" i="15" s="1"/>
  <c r="Q30" i="12"/>
  <c r="K67" i="13"/>
  <c r="W51" i="15" s="1"/>
  <c r="Q47" i="12"/>
  <c r="K13" i="13"/>
  <c r="W37" i="15" s="1"/>
  <c r="Q31" i="12"/>
  <c r="K37" i="13"/>
  <c r="W43" i="15" s="1"/>
  <c r="K12" i="13"/>
  <c r="W36" i="15" s="1"/>
  <c r="K45" i="13"/>
  <c r="W7" i="15" s="1"/>
  <c r="K16" i="13"/>
  <c r="W44" i="15" s="1"/>
  <c r="Q15" i="12"/>
  <c r="K65" i="13"/>
  <c r="W46" i="15" s="1"/>
  <c r="K42" i="13"/>
  <c r="W77" i="15" s="1"/>
  <c r="Q7" i="12"/>
  <c r="K34" i="13"/>
  <c r="W27" i="15" s="1"/>
  <c r="K3" i="13"/>
  <c r="W3" i="15" s="1"/>
  <c r="K11" i="13"/>
  <c r="W35" i="15" s="1"/>
  <c r="K55" i="13"/>
  <c r="W52" i="15" s="1"/>
  <c r="K68" i="13"/>
  <c r="W53" i="15" s="1"/>
  <c r="K38" i="13"/>
  <c r="W48" i="15" s="1"/>
  <c r="Q49" i="12"/>
  <c r="Q33" i="12"/>
  <c r="Q25" i="12"/>
  <c r="K70" i="13"/>
  <c r="W61" i="15" s="1"/>
  <c r="K71" i="13"/>
  <c r="W65" i="15" s="1"/>
  <c r="K15" i="13"/>
  <c r="W41" i="15" s="1"/>
  <c r="K44" i="13"/>
  <c r="W89" i="15" s="1"/>
  <c r="Q39" i="12"/>
  <c r="Q23" i="12"/>
  <c r="K7" i="13"/>
  <c r="W18" i="15" s="1"/>
  <c r="K8" i="13"/>
  <c r="W29" i="15" s="1"/>
  <c r="K52" i="13"/>
  <c r="W28" i="15" s="1"/>
  <c r="K63" i="13"/>
  <c r="W14" i="15" s="1"/>
  <c r="Q35" i="12"/>
  <c r="Q27" i="12"/>
  <c r="K69" i="13"/>
  <c r="W55" i="15" s="1"/>
  <c r="K53" i="13"/>
  <c r="W30" i="15" s="1"/>
  <c r="K20" i="13"/>
  <c r="W57" i="15" s="1"/>
  <c r="K43" i="13"/>
  <c r="W88" i="15" s="1"/>
  <c r="K14" i="13"/>
  <c r="W40" i="15" s="1"/>
  <c r="Q19" i="12"/>
  <c r="Q11" i="12"/>
  <c r="Q45" i="12"/>
  <c r="Q37" i="12"/>
  <c r="K41" i="13"/>
  <c r="W69" i="15" s="1"/>
  <c r="K33" i="13"/>
  <c r="W26" i="15" s="1"/>
  <c r="K30" i="13"/>
  <c r="W6" i="15" s="1"/>
  <c r="Q13" i="12"/>
  <c r="K72" i="13"/>
  <c r="W66" i="15" s="1"/>
  <c r="K64" i="13"/>
  <c r="W42" i="15" s="1"/>
  <c r="K62" i="13"/>
  <c r="W10" i="15" s="1"/>
  <c r="K29" i="13"/>
  <c r="W5" i="15" s="1"/>
  <c r="K19" i="13"/>
  <c r="W54" i="15" s="1"/>
  <c r="K35" i="13"/>
  <c r="W31" i="15" s="1"/>
  <c r="K28" i="13"/>
  <c r="W83" i="15" s="1"/>
  <c r="K49" i="13"/>
  <c r="W22" i="15" s="1"/>
  <c r="K4" i="13"/>
  <c r="W4" i="15" s="1"/>
  <c r="K18" i="13"/>
  <c r="W47" i="15" s="1"/>
  <c r="Q42" i="12"/>
  <c r="Q20" i="12"/>
  <c r="K51" i="13"/>
  <c r="W25" i="15" s="1"/>
  <c r="K75" i="13"/>
  <c r="W81" i="15" s="1"/>
  <c r="K39" i="13"/>
  <c r="W63" i="15" s="1"/>
  <c r="K31" i="13"/>
  <c r="W19" i="15" s="1"/>
  <c r="Q22" i="12"/>
  <c r="Q40" i="12"/>
  <c r="J45" i="13"/>
  <c r="AK7" i="15" s="1"/>
  <c r="J37" i="13"/>
  <c r="AK43" i="15" s="1"/>
  <c r="J60" i="13"/>
  <c r="AK8" i="15" s="1"/>
  <c r="G34" i="12"/>
  <c r="J41" i="13"/>
  <c r="AK69" i="15" s="1"/>
  <c r="G21" i="12"/>
  <c r="L55" i="13"/>
  <c r="AZ52" i="15" s="1"/>
  <c r="L52" i="13"/>
  <c r="AZ28" i="15" s="1"/>
  <c r="J44" i="13"/>
  <c r="AK89" i="15" s="1"/>
  <c r="J51" i="13"/>
  <c r="AK25" i="15" s="1"/>
  <c r="J57" i="13"/>
  <c r="AK59" i="15" s="1"/>
  <c r="J56" i="13"/>
  <c r="AK56" i="15" s="1"/>
  <c r="G6" i="12"/>
  <c r="G19" i="5" s="1"/>
  <c r="L50" i="13"/>
  <c r="AZ24" i="15" s="1"/>
  <c r="L33" i="13"/>
  <c r="AZ26" i="15" s="1"/>
  <c r="L39" i="13"/>
  <c r="AZ63" i="15" s="1"/>
  <c r="L59" i="13"/>
  <c r="AZ84" i="15" s="1"/>
  <c r="L46" i="13"/>
  <c r="AZ11" i="15" s="1"/>
  <c r="L51" i="13"/>
  <c r="AZ25" i="15" s="1"/>
  <c r="L9" i="13"/>
  <c r="AZ34" i="15" s="1"/>
  <c r="L57" i="13"/>
  <c r="AZ59" i="15" s="1"/>
  <c r="L56" i="13"/>
  <c r="AZ56" i="15" s="1"/>
  <c r="L47" i="13"/>
  <c r="AZ17" i="15" s="1"/>
  <c r="L37" i="13"/>
  <c r="AZ43" i="15" s="1"/>
  <c r="J12" i="13"/>
  <c r="AK36" i="15" s="1"/>
  <c r="J50" i="13"/>
  <c r="AK24" i="15" s="1"/>
  <c r="K17" i="13"/>
  <c r="W45" i="15" s="1"/>
  <c r="K54" i="13"/>
  <c r="W38" i="15" s="1"/>
  <c r="K50" i="13"/>
  <c r="W24" i="15" s="1"/>
  <c r="K6" i="13"/>
  <c r="W16" i="15" s="1"/>
  <c r="K9" i="13"/>
  <c r="W34" i="15" s="1"/>
  <c r="T44" i="12"/>
  <c r="T26" i="12"/>
  <c r="M6" i="13"/>
  <c r="AQ16" i="15" s="1"/>
  <c r="I10" i="13"/>
  <c r="T39" i="15" s="1"/>
  <c r="M32" i="13"/>
  <c r="AQ23" i="15" s="1"/>
  <c r="I51" i="13"/>
  <c r="T25" i="15" s="1"/>
  <c r="I55" i="13"/>
  <c r="T52" i="15" s="1"/>
  <c r="K57" i="13"/>
  <c r="W59" i="15" s="1"/>
  <c r="M59" i="13"/>
  <c r="AQ84" i="15" s="1"/>
  <c r="K60" i="13"/>
  <c r="W8" i="15" s="1"/>
  <c r="J61" i="13"/>
  <c r="AK9" i="15" s="1"/>
  <c r="I62" i="13"/>
  <c r="T10" i="15" s="1"/>
  <c r="M62" i="13"/>
  <c r="AQ10" i="15" s="1"/>
  <c r="M5" i="13"/>
  <c r="AQ12" i="15" s="1"/>
  <c r="D21" i="12"/>
  <c r="D8" i="12"/>
  <c r="L15" i="13"/>
  <c r="AZ41" i="15" s="1"/>
  <c r="L19" i="13"/>
  <c r="AZ54" i="15" s="1"/>
  <c r="M29" i="13"/>
  <c r="AQ5" i="15" s="1"/>
  <c r="M38" i="13"/>
  <c r="AQ48" i="15" s="1"/>
  <c r="K40" i="13"/>
  <c r="W67" i="15" s="1"/>
  <c r="L43" i="13"/>
  <c r="AZ88" i="15" s="1"/>
  <c r="K48" i="13"/>
  <c r="W21" i="15" s="1"/>
  <c r="K56" i="13"/>
  <c r="W56" i="15" s="1"/>
  <c r="K58" i="13"/>
  <c r="W62" i="15" s="1"/>
  <c r="K61" i="13"/>
  <c r="W9" i="15" s="1"/>
  <c r="Q43" i="12"/>
  <c r="Q16" i="12"/>
  <c r="K32" i="13"/>
  <c r="W23" i="15" s="1"/>
  <c r="K5" i="13"/>
  <c r="W12" i="15" s="1"/>
  <c r="T41" i="12"/>
  <c r="T32" i="12"/>
  <c r="T30" i="12"/>
  <c r="T22" i="12"/>
  <c r="D5" i="12"/>
  <c r="F25" i="3" s="1"/>
  <c r="M25" i="13"/>
  <c r="AQ74" i="15" s="1"/>
  <c r="M30" i="13"/>
  <c r="AQ6" i="15" s="1"/>
  <c r="L54" i="13"/>
  <c r="AZ38" i="15" s="1"/>
  <c r="I57" i="13"/>
  <c r="T59" i="15" s="1"/>
  <c r="I15" i="13"/>
  <c r="T41" i="15" s="1"/>
  <c r="G7" i="5" l="1"/>
  <c r="G23" i="5"/>
  <c r="G31" i="5"/>
  <c r="F28" i="3"/>
  <c r="F33" i="3"/>
  <c r="G5" i="5"/>
  <c r="G13" i="5"/>
  <c r="G25" i="5"/>
  <c r="G10" i="5"/>
  <c r="G18" i="5"/>
  <c r="G26" i="5"/>
  <c r="F7" i="3"/>
  <c r="F10" i="3"/>
  <c r="F4" i="3"/>
  <c r="F24" i="3"/>
  <c r="F13" i="3"/>
  <c r="F29" i="3"/>
  <c r="G24" i="5"/>
  <c r="F23" i="3"/>
  <c r="F31" i="3"/>
  <c r="G20" i="5"/>
  <c r="F18" i="3"/>
  <c r="F26" i="3"/>
  <c r="F3" i="7"/>
  <c r="F7" i="7"/>
  <c r="F11" i="7"/>
  <c r="F15" i="7"/>
  <c r="F19" i="7"/>
  <c r="F23" i="7"/>
  <c r="F27" i="7"/>
  <c r="F31" i="7"/>
  <c r="F35" i="7"/>
  <c r="F39" i="7"/>
  <c r="F43" i="7"/>
  <c r="F10" i="7"/>
  <c r="F18" i="7"/>
  <c r="F26" i="7"/>
  <c r="F30" i="7"/>
  <c r="F4" i="7"/>
  <c r="F8" i="7"/>
  <c r="F12" i="7"/>
  <c r="F16" i="7"/>
  <c r="F20" i="7"/>
  <c r="F24" i="7"/>
  <c r="F28" i="7"/>
  <c r="F32" i="7"/>
  <c r="F36" i="7"/>
  <c r="F40" i="7"/>
  <c r="F44" i="7"/>
  <c r="F14" i="7"/>
  <c r="F22" i="7"/>
  <c r="F38" i="7"/>
  <c r="F5" i="7"/>
  <c r="F9" i="7"/>
  <c r="F13" i="7"/>
  <c r="F17" i="7"/>
  <c r="F21" i="7"/>
  <c r="F25" i="7"/>
  <c r="F29" i="7"/>
  <c r="F33" i="7"/>
  <c r="F37" i="7"/>
  <c r="F41" i="7"/>
  <c r="F45" i="7"/>
  <c r="F6" i="7"/>
  <c r="F34" i="7"/>
  <c r="F42" i="7"/>
  <c r="F11" i="3"/>
  <c r="F8" i="3"/>
  <c r="F32" i="3"/>
  <c r="G32" i="5"/>
  <c r="F17" i="3"/>
  <c r="G4" i="5"/>
  <c r="G28" i="5"/>
  <c r="V17" i="17"/>
  <c r="G27" i="5"/>
  <c r="F20" i="3"/>
  <c r="G9" i="5"/>
  <c r="G17" i="5"/>
  <c r="G6" i="5"/>
  <c r="G14" i="5"/>
  <c r="G22" i="5"/>
  <c r="F15" i="3"/>
  <c r="F12" i="3"/>
  <c r="G3" i="5"/>
  <c r="F5" i="3"/>
  <c r="F21" i="3"/>
  <c r="G8" i="5"/>
  <c r="N17" i="17"/>
  <c r="F14" i="3"/>
  <c r="P17" i="17"/>
  <c r="G11" i="5"/>
  <c r="F19" i="3"/>
  <c r="F27" i="3"/>
  <c r="G12" i="5"/>
  <c r="G29" i="5"/>
  <c r="F6" i="3"/>
  <c r="F22" i="3"/>
  <c r="F30" i="3"/>
  <c r="F3" i="3"/>
  <c r="F34" i="3" s="1"/>
  <c r="G30" i="5"/>
  <c r="F16" i="3"/>
  <c r="G15" i="5"/>
  <c r="G21" i="5"/>
  <c r="F9" i="3"/>
  <c r="X17" i="17"/>
  <c r="N5" i="18"/>
  <c r="L4" i="18"/>
  <c r="R5" i="18"/>
  <c r="P5" i="18"/>
  <c r="A3" i="7"/>
  <c r="E5" i="7"/>
  <c r="N87" i="13"/>
  <c r="AT80" i="15" s="1"/>
  <c r="N6" i="13"/>
  <c r="AT16" i="15" s="1"/>
  <c r="N58" i="13"/>
  <c r="AT62" i="15" s="1"/>
  <c r="N42" i="13"/>
  <c r="AT77" i="15" s="1"/>
  <c r="N85" i="13"/>
  <c r="AT64" i="15" s="1"/>
  <c r="N86" i="13"/>
  <c r="AT68" i="15" s="1"/>
  <c r="E34" i="15"/>
  <c r="N4" i="4"/>
  <c r="L6" i="18"/>
  <c r="N90" i="13"/>
  <c r="AT90" i="15" s="1"/>
  <c r="N9" i="18"/>
  <c r="R6" i="18"/>
  <c r="N6" i="18"/>
  <c r="F8" i="5"/>
  <c r="F30" i="5"/>
  <c r="N11" i="18"/>
  <c r="N71" i="13"/>
  <c r="AT65" i="15" s="1"/>
  <c r="N59" i="13"/>
  <c r="AT84" i="15" s="1"/>
  <c r="N72" i="13"/>
  <c r="AT66" i="15" s="1"/>
  <c r="N33" i="13"/>
  <c r="AT26" i="15" s="1"/>
  <c r="E10" i="3"/>
  <c r="G10" i="3" s="1"/>
  <c r="F12" i="4"/>
  <c r="N36" i="13"/>
  <c r="AT32" i="15" s="1"/>
  <c r="N78" i="13"/>
  <c r="AT13" i="15" s="1"/>
  <c r="J13" i="4"/>
  <c r="H14" i="4"/>
  <c r="J18" i="4"/>
  <c r="F8" i="4"/>
  <c r="J11" i="4"/>
  <c r="F17" i="4"/>
  <c r="H4" i="4"/>
  <c r="E3" i="3"/>
  <c r="E19" i="3"/>
  <c r="E27" i="3"/>
  <c r="G27" i="3" s="1"/>
  <c r="F11" i="5"/>
  <c r="F23" i="5"/>
  <c r="F31" i="5"/>
  <c r="L14" i="4"/>
  <c r="J12" i="4"/>
  <c r="L10" i="4"/>
  <c r="J8" i="4"/>
  <c r="N7" i="4"/>
  <c r="F16" i="5"/>
  <c r="P17" i="4"/>
  <c r="L15" i="4"/>
  <c r="L7" i="4"/>
  <c r="E8" i="7"/>
  <c r="E16" i="7"/>
  <c r="E15" i="7"/>
  <c r="E23" i="7"/>
  <c r="E27" i="7"/>
  <c r="E42" i="7"/>
  <c r="E26" i="7"/>
  <c r="E10" i="7"/>
  <c r="E41" i="7"/>
  <c r="E25" i="7"/>
  <c r="E9" i="7"/>
  <c r="G9" i="7" s="1"/>
  <c r="E16" i="3"/>
  <c r="G16" i="3" s="1"/>
  <c r="E28" i="3"/>
  <c r="L9" i="18"/>
  <c r="F4" i="5"/>
  <c r="N10" i="4"/>
  <c r="E13" i="3"/>
  <c r="E29" i="3"/>
  <c r="G29" i="3" s="1"/>
  <c r="R9" i="18"/>
  <c r="F18" i="4"/>
  <c r="N5" i="4"/>
  <c r="F11" i="4"/>
  <c r="F7" i="4"/>
  <c r="E14" i="3"/>
  <c r="G14" i="3" s="1"/>
  <c r="P6" i="18"/>
  <c r="P10" i="18"/>
  <c r="P11" i="18"/>
  <c r="F10" i="5"/>
  <c r="F18" i="5"/>
  <c r="F26" i="5"/>
  <c r="N18" i="4"/>
  <c r="F15" i="4"/>
  <c r="N14" i="4"/>
  <c r="J10" i="4"/>
  <c r="J17" i="4"/>
  <c r="H18" i="4"/>
  <c r="J7" i="4"/>
  <c r="F16" i="4"/>
  <c r="H8" i="4"/>
  <c r="J15" i="4"/>
  <c r="H12" i="4"/>
  <c r="E7" i="3"/>
  <c r="G7" i="3" s="1"/>
  <c r="N8" i="18"/>
  <c r="N10" i="18"/>
  <c r="F3" i="5"/>
  <c r="P16" i="4"/>
  <c r="N11" i="4"/>
  <c r="P8" i="4"/>
  <c r="P4" i="4"/>
  <c r="F24" i="5"/>
  <c r="H17" i="4"/>
  <c r="N12" i="4"/>
  <c r="E40" i="7"/>
  <c r="E7" i="7"/>
  <c r="E4" i="7"/>
  <c r="E12" i="7"/>
  <c r="E19" i="7"/>
  <c r="E38" i="7"/>
  <c r="E22" i="7"/>
  <c r="E37" i="7"/>
  <c r="E21" i="7"/>
  <c r="L13" i="4"/>
  <c r="E4" i="3"/>
  <c r="G4" i="3" s="1"/>
  <c r="E20" i="3"/>
  <c r="L7" i="18"/>
  <c r="L8" i="18"/>
  <c r="F12" i="5"/>
  <c r="F28" i="5"/>
  <c r="H13" i="4"/>
  <c r="P5" i="4"/>
  <c r="E17" i="3"/>
  <c r="G17" i="3" s="1"/>
  <c r="E33" i="3"/>
  <c r="G33" i="3" s="1"/>
  <c r="R8" i="18"/>
  <c r="F5" i="5"/>
  <c r="F13" i="5"/>
  <c r="F21" i="5"/>
  <c r="P18" i="4"/>
  <c r="L12" i="4"/>
  <c r="P10" i="4"/>
  <c r="L8" i="4"/>
  <c r="F6" i="4"/>
  <c r="L4" i="4"/>
  <c r="E6" i="3"/>
  <c r="E18" i="3"/>
  <c r="G18" i="3" s="1"/>
  <c r="E26" i="3"/>
  <c r="G26" i="3" s="1"/>
  <c r="P9" i="18"/>
  <c r="P15" i="4"/>
  <c r="J5" i="4"/>
  <c r="H6" i="4"/>
  <c r="J6" i="4"/>
  <c r="H7" i="4"/>
  <c r="F5" i="4"/>
  <c r="H16" i="4"/>
  <c r="F4" i="4"/>
  <c r="H11" i="4"/>
  <c r="E11" i="3"/>
  <c r="G11" i="3" s="1"/>
  <c r="E23" i="3"/>
  <c r="G23" i="3" s="1"/>
  <c r="E31" i="3"/>
  <c r="G31" i="3" s="1"/>
  <c r="N7" i="18"/>
  <c r="F7" i="5"/>
  <c r="F15" i="5"/>
  <c r="F27" i="5"/>
  <c r="L18" i="4"/>
  <c r="J16" i="4"/>
  <c r="N15" i="4"/>
  <c r="P12" i="4"/>
  <c r="L6" i="4"/>
  <c r="F32" i="5"/>
  <c r="H9" i="4"/>
  <c r="E31" i="7"/>
  <c r="E39" i="7"/>
  <c r="E36" i="7"/>
  <c r="E44" i="7"/>
  <c r="E43" i="7"/>
  <c r="E11" i="7"/>
  <c r="E34" i="7"/>
  <c r="E18" i="7"/>
  <c r="E33" i="7"/>
  <c r="E17" i="7"/>
  <c r="E8" i="3"/>
  <c r="E32" i="3"/>
  <c r="G32" i="3" s="1"/>
  <c r="L11" i="18"/>
  <c r="N16" i="4"/>
  <c r="F29" i="5"/>
  <c r="H29" i="5" s="1"/>
  <c r="E21" i="3"/>
  <c r="G21" i="3" s="1"/>
  <c r="R7" i="18"/>
  <c r="R11" i="18"/>
  <c r="F25" i="5"/>
  <c r="F14" i="4"/>
  <c r="N13" i="4"/>
  <c r="F10" i="4"/>
  <c r="N9" i="4"/>
  <c r="P6" i="4"/>
  <c r="P11" i="4"/>
  <c r="P7" i="4"/>
  <c r="F6" i="5"/>
  <c r="F14" i="5"/>
  <c r="F22" i="5"/>
  <c r="N6" i="4"/>
  <c r="J9" i="4"/>
  <c r="H10" i="4"/>
  <c r="J14" i="4"/>
  <c r="H15" i="4"/>
  <c r="F13" i="4"/>
  <c r="F9" i="4"/>
  <c r="E5" i="3"/>
  <c r="G5" i="3" s="1"/>
  <c r="E15" i="3"/>
  <c r="G15" i="3" s="1"/>
  <c r="F19" i="5"/>
  <c r="J4" i="4"/>
  <c r="H16" i="5"/>
  <c r="P9" i="4"/>
  <c r="E20" i="7"/>
  <c r="E28" i="7"/>
  <c r="E24" i="7"/>
  <c r="G24" i="7" s="1"/>
  <c r="E32" i="7"/>
  <c r="E35" i="7"/>
  <c r="E30" i="7"/>
  <c r="E14" i="7"/>
  <c r="G14" i="7" s="1"/>
  <c r="E45" i="7"/>
  <c r="E29" i="7"/>
  <c r="E13" i="7"/>
  <c r="E12" i="3"/>
  <c r="G12" i="3" s="1"/>
  <c r="E24" i="3"/>
  <c r="G24" i="3" s="1"/>
  <c r="L10" i="18"/>
  <c r="F20" i="5"/>
  <c r="P13" i="4"/>
  <c r="L11" i="4"/>
  <c r="N8" i="4"/>
  <c r="H5" i="4"/>
  <c r="L5" i="4"/>
  <c r="E9" i="3"/>
  <c r="E25" i="3"/>
  <c r="G25" i="3" s="1"/>
  <c r="R10" i="18"/>
  <c r="F9" i="5"/>
  <c r="F17" i="5"/>
  <c r="N17" i="4"/>
  <c r="L16" i="4"/>
  <c r="P14" i="4"/>
  <c r="E22" i="3"/>
  <c r="G22" i="3" s="1"/>
  <c r="E30" i="3"/>
  <c r="G30" i="3" s="1"/>
  <c r="P7" i="18"/>
  <c r="P8" i="18"/>
  <c r="L17" i="4"/>
  <c r="L9" i="4"/>
  <c r="N16" i="13"/>
  <c r="AT44" i="15" s="1"/>
  <c r="N55" i="13"/>
  <c r="AT52" i="15" s="1"/>
  <c r="N11" i="13"/>
  <c r="AT35" i="15" s="1"/>
  <c r="N40" i="13"/>
  <c r="AT67" i="15" s="1"/>
  <c r="E81" i="15"/>
  <c r="N20" i="13"/>
  <c r="AT57" i="15" s="1"/>
  <c r="N30" i="13"/>
  <c r="AT6" i="15" s="1"/>
  <c r="N77" i="13"/>
  <c r="AT86" i="15" s="1"/>
  <c r="N52" i="13"/>
  <c r="AT28" i="15" s="1"/>
  <c r="N35" i="13"/>
  <c r="AT31" i="15" s="1"/>
  <c r="N70" i="13"/>
  <c r="AT61" i="15" s="1"/>
  <c r="N62" i="13"/>
  <c r="AT10" i="15" s="1"/>
  <c r="N19" i="13"/>
  <c r="AT54" i="15" s="1"/>
  <c r="N60" i="13"/>
  <c r="AT8" i="15" s="1"/>
  <c r="N32" i="13"/>
  <c r="AT23" i="15" s="1"/>
  <c r="E79" i="15"/>
  <c r="N89" i="13"/>
  <c r="AT87" i="15" s="1"/>
  <c r="N48" i="13"/>
  <c r="AT21" i="15" s="1"/>
  <c r="N88" i="13"/>
  <c r="AT82" i="15" s="1"/>
  <c r="E50" i="15"/>
  <c r="N63" i="13"/>
  <c r="AT14" i="15" s="1"/>
  <c r="E24" i="15"/>
  <c r="N8" i="13"/>
  <c r="AT29" i="15" s="1"/>
  <c r="N13" i="13"/>
  <c r="AT37" i="15" s="1"/>
  <c r="N83" i="13"/>
  <c r="AT58" i="15" s="1"/>
  <c r="E43" i="15"/>
  <c r="N91" i="13"/>
  <c r="AT91" i="15" s="1"/>
  <c r="N3" i="13"/>
  <c r="AT3" i="15" s="1"/>
  <c r="N46" i="13"/>
  <c r="AT11" i="15" s="1"/>
  <c r="E22" i="15"/>
  <c r="E15" i="15"/>
  <c r="N84" i="13"/>
  <c r="AT60" i="15" s="1"/>
  <c r="N69" i="13"/>
  <c r="AT55" i="15" s="1"/>
  <c r="N53" i="13"/>
  <c r="AT30" i="15" s="1"/>
  <c r="N38" i="13"/>
  <c r="AT48" i="15" s="1"/>
  <c r="N51" i="13"/>
  <c r="AT25" i="15" s="1"/>
  <c r="N65" i="13"/>
  <c r="AT46" i="15" s="1"/>
  <c r="N44" i="13"/>
  <c r="AT89" i="15" s="1"/>
  <c r="N5" i="13"/>
  <c r="AT12" i="15" s="1"/>
  <c r="N80" i="13"/>
  <c r="AT20" i="15" s="1"/>
  <c r="N45" i="13"/>
  <c r="AT7" i="15" s="1"/>
  <c r="N57" i="13"/>
  <c r="AT59" i="15" s="1"/>
  <c r="E45" i="15"/>
  <c r="E36" i="15"/>
  <c r="N12" i="13"/>
  <c r="AT36" i="15" s="1"/>
  <c r="N64" i="13"/>
  <c r="AT42" i="15" s="1"/>
  <c r="BE92" i="15"/>
  <c r="BF92" i="15"/>
  <c r="BQ5" i="15"/>
  <c r="BQ92" i="15" s="1"/>
  <c r="BR92" i="15"/>
  <c r="BP92" i="15"/>
  <c r="BD92" i="15"/>
  <c r="AL92" i="15"/>
  <c r="Z92" i="15"/>
  <c r="Y92" i="15"/>
  <c r="X92" i="15"/>
  <c r="N15" i="13"/>
  <c r="AT41" i="15" s="1"/>
  <c r="N82" i="13"/>
  <c r="AT49" i="15" s="1"/>
  <c r="N7" i="13"/>
  <c r="AT18" i="15" s="1"/>
  <c r="N29" i="13"/>
  <c r="AT5" i="15" s="1"/>
  <c r="N61" i="13"/>
  <c r="AT9" i="15" s="1"/>
  <c r="N43" i="13"/>
  <c r="AT88" i="15" s="1"/>
  <c r="N76" i="13"/>
  <c r="AT85" i="15" s="1"/>
  <c r="N67" i="13"/>
  <c r="AT51" i="15" s="1"/>
  <c r="N4" i="13"/>
  <c r="AT4" i="15" s="1"/>
  <c r="N54" i="13"/>
  <c r="AT38" i="15" s="1"/>
  <c r="N14" i="13"/>
  <c r="AT40" i="15" s="1"/>
  <c r="N31" i="13"/>
  <c r="AT19" i="15" s="1"/>
  <c r="N41" i="13"/>
  <c r="AT69" i="15" s="1"/>
  <c r="G13" i="3" l="1"/>
  <c r="G28" i="3"/>
  <c r="G8" i="3"/>
  <c r="G20" i="3"/>
  <c r="G9" i="3"/>
  <c r="R10" i="4"/>
  <c r="G6" i="3"/>
  <c r="H4" i="5"/>
  <c r="G19" i="3"/>
  <c r="A4" i="7"/>
  <c r="G11" i="7"/>
  <c r="G36" i="7"/>
  <c r="T10" i="4"/>
  <c r="H14" i="5"/>
  <c r="G43" i="7"/>
  <c r="V16" i="4"/>
  <c r="E3" i="7"/>
  <c r="G3" i="7" s="1"/>
  <c r="A5" i="7"/>
  <c r="G17" i="7"/>
  <c r="G5" i="7"/>
  <c r="H13" i="5"/>
  <c r="G32" i="7"/>
  <c r="V17" i="4"/>
  <c r="H22" i="5"/>
  <c r="G4" i="7"/>
  <c r="R13" i="4"/>
  <c r="H30" i="5"/>
  <c r="G33" i="7"/>
  <c r="H7" i="5"/>
  <c r="H27" i="5"/>
  <c r="G28" i="7"/>
  <c r="V5" i="4"/>
  <c r="H24" i="5"/>
  <c r="T15" i="4"/>
  <c r="G34" i="7"/>
  <c r="T11" i="4"/>
  <c r="G37" i="7"/>
  <c r="G35" i="7"/>
  <c r="R15" i="4"/>
  <c r="T5" i="4"/>
  <c r="H6" i="5"/>
  <c r="H28" i="5"/>
  <c r="H26" i="5"/>
  <c r="T7" i="4"/>
  <c r="H12" i="5"/>
  <c r="R14" i="4"/>
  <c r="H8" i="5"/>
  <c r="R12" i="4"/>
  <c r="H10" i="5"/>
  <c r="H20" i="5"/>
  <c r="R7" i="4"/>
  <c r="G29" i="7"/>
  <c r="G45" i="7"/>
  <c r="G30" i="7"/>
  <c r="H19" i="5"/>
  <c r="T18" i="4"/>
  <c r="G42" i="7"/>
  <c r="N19" i="4"/>
  <c r="P12" i="18"/>
  <c r="L12" i="18"/>
  <c r="G8" i="7"/>
  <c r="F7" i="18"/>
  <c r="V7" i="18" s="1"/>
  <c r="G18" i="7"/>
  <c r="H21" i="5"/>
  <c r="H4" i="18"/>
  <c r="D9" i="18"/>
  <c r="T9" i="18" s="1"/>
  <c r="V14" i="4"/>
  <c r="H10" i="18"/>
  <c r="X10" i="18" s="1"/>
  <c r="D5" i="18"/>
  <c r="T5" i="18" s="1"/>
  <c r="T9" i="4"/>
  <c r="R12" i="18"/>
  <c r="R5" i="4"/>
  <c r="H11" i="18"/>
  <c r="X11" i="18" s="1"/>
  <c r="D6" i="18"/>
  <c r="T6" i="18" s="1"/>
  <c r="G19" i="7"/>
  <c r="G40" i="7"/>
  <c r="G33" i="5"/>
  <c r="P19" i="4"/>
  <c r="H3" i="5"/>
  <c r="F33" i="5"/>
  <c r="R16" i="4"/>
  <c r="V10" i="4"/>
  <c r="R11" i="4"/>
  <c r="F8" i="18"/>
  <c r="V8" i="18" s="1"/>
  <c r="H7" i="18"/>
  <c r="X7" i="18" s="1"/>
  <c r="G41" i="7"/>
  <c r="G26" i="7"/>
  <c r="G23" i="7"/>
  <c r="G16" i="7"/>
  <c r="H23" i="5"/>
  <c r="R17" i="4"/>
  <c r="T14" i="4"/>
  <c r="F4" i="18"/>
  <c r="H9" i="18"/>
  <c r="X9" i="18" s="1"/>
  <c r="G13" i="7"/>
  <c r="R9" i="4"/>
  <c r="J10" i="18"/>
  <c r="Z10" i="18" s="1"/>
  <c r="H5" i="18"/>
  <c r="X5" i="18" s="1"/>
  <c r="F46" i="7"/>
  <c r="G44" i="7"/>
  <c r="G39" i="7"/>
  <c r="H32" i="5"/>
  <c r="J11" i="18"/>
  <c r="Z11" i="18" s="1"/>
  <c r="H6" i="18"/>
  <c r="X6" i="18" s="1"/>
  <c r="G21" i="7"/>
  <c r="E6" i="7"/>
  <c r="G6" i="7" s="1"/>
  <c r="A36" i="7"/>
  <c r="A20" i="7"/>
  <c r="A43" i="7"/>
  <c r="A27" i="7"/>
  <c r="A11" i="7"/>
  <c r="A38" i="7"/>
  <c r="A22" i="7"/>
  <c r="A6" i="7"/>
  <c r="A33" i="7"/>
  <c r="A17" i="7"/>
  <c r="A32" i="7"/>
  <c r="A16" i="7"/>
  <c r="A39" i="7"/>
  <c r="A23" i="7"/>
  <c r="A7" i="7"/>
  <c r="A34" i="7"/>
  <c r="A18" i="7"/>
  <c r="A45" i="7"/>
  <c r="A29" i="7"/>
  <c r="A13" i="7"/>
  <c r="A44" i="7"/>
  <c r="A28" i="7"/>
  <c r="A12" i="7"/>
  <c r="A35" i="7"/>
  <c r="A19" i="7"/>
  <c r="A30" i="7"/>
  <c r="A14" i="7"/>
  <c r="A41" i="7"/>
  <c r="A25" i="7"/>
  <c r="A9" i="7"/>
  <c r="A40" i="7"/>
  <c r="A24" i="7"/>
  <c r="A8" i="7"/>
  <c r="A31" i="7"/>
  <c r="A15" i="7"/>
  <c r="A42" i="7"/>
  <c r="A26" i="7"/>
  <c r="A10" i="7"/>
  <c r="A37" i="7"/>
  <c r="A21" i="7"/>
  <c r="G7" i="7"/>
  <c r="T12" i="4"/>
  <c r="V7" i="4"/>
  <c r="H18" i="5"/>
  <c r="J8" i="18"/>
  <c r="Z8" i="18" s="1"/>
  <c r="J7" i="18"/>
  <c r="Z7" i="18" s="1"/>
  <c r="V12" i="4"/>
  <c r="H11" i="5"/>
  <c r="E34" i="3"/>
  <c r="G3" i="3"/>
  <c r="G34" i="3" s="1"/>
  <c r="F48" i="3" s="1"/>
  <c r="F49" i="3" s="1"/>
  <c r="V11" i="4"/>
  <c r="V13" i="4"/>
  <c r="J4" i="18"/>
  <c r="F9" i="18"/>
  <c r="V9" i="18" s="1"/>
  <c r="G20" i="7"/>
  <c r="H17" i="5"/>
  <c r="V9" i="4"/>
  <c r="F10" i="18"/>
  <c r="V10" i="18" s="1"/>
  <c r="J5" i="18"/>
  <c r="Z5" i="18" s="1"/>
  <c r="H15" i="5"/>
  <c r="R4" i="4"/>
  <c r="F19" i="4"/>
  <c r="V6" i="4"/>
  <c r="L19" i="4"/>
  <c r="H5" i="5"/>
  <c r="D11" i="18"/>
  <c r="T11" i="18" s="1"/>
  <c r="F6" i="18"/>
  <c r="V6" i="18" s="1"/>
  <c r="G22" i="7"/>
  <c r="G12" i="7"/>
  <c r="T17" i="4"/>
  <c r="H9" i="5"/>
  <c r="V15" i="4"/>
  <c r="R18" i="4"/>
  <c r="D8" i="18"/>
  <c r="T8" i="18" s="1"/>
  <c r="D7" i="18"/>
  <c r="T7" i="18" s="1"/>
  <c r="N12" i="18"/>
  <c r="G27" i="7"/>
  <c r="G15" i="7"/>
  <c r="R8" i="4"/>
  <c r="D4" i="18"/>
  <c r="J9" i="18"/>
  <c r="Z9" i="18" s="1"/>
  <c r="V4" i="4"/>
  <c r="J19" i="4"/>
  <c r="D10" i="18"/>
  <c r="T10" i="18" s="1"/>
  <c r="F5" i="18"/>
  <c r="V5" i="18" s="1"/>
  <c r="G31" i="7"/>
  <c r="T16" i="4"/>
  <c r="T6" i="4"/>
  <c r="R6" i="4"/>
  <c r="T13" i="4"/>
  <c r="F11" i="18"/>
  <c r="V11" i="18" s="1"/>
  <c r="J6" i="18"/>
  <c r="Z6" i="18" s="1"/>
  <c r="G38" i="7"/>
  <c r="H25" i="5"/>
  <c r="T8" i="4"/>
  <c r="H8" i="18"/>
  <c r="X8" i="18" s="1"/>
  <c r="G25" i="7"/>
  <c r="G10" i="7"/>
  <c r="V8" i="4"/>
  <c r="H31" i="5"/>
  <c r="H19" i="4"/>
  <c r="T4" i="4"/>
  <c r="V18" i="4"/>
  <c r="E46" i="7" l="1"/>
  <c r="V19" i="4"/>
  <c r="O27" i="4" s="1"/>
  <c r="D12" i="18"/>
  <c r="T4" i="18"/>
  <c r="T12" i="18" s="1"/>
  <c r="T19" i="4"/>
  <c r="G46" i="7"/>
  <c r="J12" i="18"/>
  <c r="Z4" i="18"/>
  <c r="Z12" i="18" s="1"/>
  <c r="F12" i="18"/>
  <c r="V4" i="18"/>
  <c r="V12" i="18" s="1"/>
  <c r="R19" i="4"/>
  <c r="H33" i="5"/>
  <c r="E38" i="5" s="1"/>
  <c r="X4" i="18"/>
  <c r="X12" i="18" s="1"/>
  <c r="H12" i="18"/>
  <c r="K27" i="4"/>
  <c r="J27" i="4"/>
  <c r="E39" i="5" l="1"/>
  <c r="E40" i="5"/>
  <c r="J28" i="4"/>
  <c r="J29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Cryp7iC</author>
  </authors>
  <commentList>
    <comment ref="B2" authorId="0" shapeId="0" xr:uid="{780B4DEE-C1AE-488F-AE13-6F767A8B679C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enter new world boss name, then click "Add New World Boss" button.
A new row will be created at the bottom of "World boss Mats" sheet.</t>
        </r>
      </text>
    </comment>
    <comment ref="E2" authorId="0" shapeId="0" xr:uid="{F3E05A39-5827-4BCC-A393-395E1D995EC2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enter new Region name, book name 1, book name 2, book name 3, then click "Add New Talent Book" button.
3 new rows will be created at the bottom of "Talent Books" sheet.</t>
        </r>
      </text>
    </comment>
    <comment ref="H2" authorId="0" shapeId="0" xr:uid="{C6AC5630-42B1-4725-BDFC-9758F20F25F5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enter New Weekly Boss Name, Material 1, Material 2, Material 3 and then click "Add New Weekly Boss" button.
3 new rows will be created at the bottom of "Weekly Boss Mats" sheet.</t>
        </r>
      </text>
    </comment>
    <comment ref="B15" authorId="0" shapeId="0" xr:uid="{D4487FC6-2CDE-4942-8BC9-1A26DD56E155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enter New Ascension Flower Name, then click "Add New Ascension Flower" button.
a new row will be created on bottom of "Ascension Materials" sheet at the bottom of Ascension Flower table.</t>
        </r>
      </text>
    </comment>
    <comment ref="E15" authorId="0" shapeId="0" xr:uid="{DE8164DB-A046-4218-A88E-F76BC2E27B4A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enter New Ascension Moster Name, Mats 1, Mats 2, Mats 3, then click "Add New Ascension Mob" button.
3 new rows will be created on "Ascension Material" sheet at the bottom of Ascension Mob table.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Cryp7iC</author>
  </authors>
  <commentList>
    <comment ref="G43" authorId="0" shapeId="0" xr:uid="{7DDDD7C3-E716-4D11-9415-2703862924C3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{60 Minutes / 8 Resin x 24 Hours}</t>
        </r>
      </text>
    </comment>
    <comment ref="G45" authorId="0" shapeId="0" xr:uid="{BFA2DA53-1903-4C1D-926E-58F8194C622D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{Daily Resin / Collection Cost}</t>
        </r>
      </text>
    </comment>
    <comment ref="G47" authorId="0" shapeId="0" xr:uid="{E2146A34-F09B-4FBE-A466-FE6608FBE29C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{Daily Reward Collection x Rewards per Clear}</t>
        </r>
      </text>
    </comment>
    <comment ref="G48" authorId="0" shapeId="0" xr:uid="{6F357B4D-7245-4402-AD72-BBC0E3C19FAA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{Remaining Mats / Daily Mats Collection}</t>
        </r>
      </text>
    </comment>
    <comment ref="G49" authorId="0" shapeId="0" xr:uid="{A70AC60C-BD39-468B-B4A9-596BF5EFF65A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{Daily Resin x Total Days Needed}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Cryp7iC</author>
  </authors>
  <commentList>
    <comment ref="F35" authorId="0" shapeId="0" xr:uid="{1BE1E76B-AF64-4774-8DC3-A92F954AF345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Total boss count</t>
        </r>
      </text>
    </comment>
    <comment ref="F37" authorId="0" shapeId="0" xr:uid="{AFC2AB7C-C5EE-456A-82A9-3D8ED80E32E3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{Weekly Reward Collection x Rewards per Clear}</t>
        </r>
      </text>
    </comment>
    <comment ref="F38" authorId="0" shapeId="0" xr:uid="{416BBF2A-2A05-45B5-8983-5A4B007EAA79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{Remaining Mats / Daily Mats Collection}</t>
        </r>
      </text>
    </comment>
    <comment ref="F39" authorId="0" shapeId="0" xr:uid="{1C6BF3AF-3DDD-4BAF-813C-62FC055D28BE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{Week needed for collection x 7 days}</t>
        </r>
      </text>
    </comment>
    <comment ref="F40" authorId="0" shapeId="0" xr:uid="{F1BB1318-43D4-41CA-86D0-891FDD770039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{9 Times Clear Resin Cost (450) x Total Weeks Needed}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895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8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0"/>
        </ext>
      </extLst>
    </bk>
    <bk>
      <extLst>
        <ext uri="{3e2802c4-a4d2-4d8b-9148-e3be6c30e623}">
          <xlrd:rvb i="131"/>
        </ext>
      </extLst>
    </bk>
    <bk>
      <extLst>
        <ext uri="{3e2802c4-a4d2-4d8b-9148-e3be6c30e623}">
          <xlrd:rvb i="132"/>
        </ext>
      </extLst>
    </bk>
    <bk>
      <extLst>
        <ext uri="{3e2802c4-a4d2-4d8b-9148-e3be6c30e623}">
          <xlrd:rvb i="133"/>
        </ext>
      </extLst>
    </bk>
    <bk>
      <extLst>
        <ext uri="{3e2802c4-a4d2-4d8b-9148-e3be6c30e623}">
          <xlrd:rvb i="134"/>
        </ext>
      </extLst>
    </bk>
    <bk>
      <extLst>
        <ext uri="{3e2802c4-a4d2-4d8b-9148-e3be6c30e623}">
          <xlrd:rvb i="135"/>
        </ext>
      </extLst>
    </bk>
    <bk>
      <extLst>
        <ext uri="{3e2802c4-a4d2-4d8b-9148-e3be6c30e623}">
          <xlrd:rvb i="136"/>
        </ext>
      </extLst>
    </bk>
    <bk>
      <extLst>
        <ext uri="{3e2802c4-a4d2-4d8b-9148-e3be6c30e623}">
          <xlrd:rvb i="137"/>
        </ext>
      </extLst>
    </bk>
    <bk>
      <extLst>
        <ext uri="{3e2802c4-a4d2-4d8b-9148-e3be6c30e623}">
          <xlrd:rvb i="138"/>
        </ext>
      </extLst>
    </bk>
    <bk>
      <extLst>
        <ext uri="{3e2802c4-a4d2-4d8b-9148-e3be6c30e623}">
          <xlrd:rvb i="139"/>
        </ext>
      </extLst>
    </bk>
    <bk>
      <extLst>
        <ext uri="{3e2802c4-a4d2-4d8b-9148-e3be6c30e623}">
          <xlrd:rvb i="140"/>
        </ext>
      </extLst>
    </bk>
    <bk>
      <extLst>
        <ext uri="{3e2802c4-a4d2-4d8b-9148-e3be6c30e623}">
          <xlrd:rvb i="141"/>
        </ext>
      </extLst>
    </bk>
    <bk>
      <extLst>
        <ext uri="{3e2802c4-a4d2-4d8b-9148-e3be6c30e623}">
          <xlrd:rvb i="142"/>
        </ext>
      </extLst>
    </bk>
    <bk>
      <extLst>
        <ext uri="{3e2802c4-a4d2-4d8b-9148-e3be6c30e623}">
          <xlrd:rvb i="143"/>
        </ext>
      </extLst>
    </bk>
    <bk>
      <extLst>
        <ext uri="{3e2802c4-a4d2-4d8b-9148-e3be6c30e623}">
          <xlrd:rvb i="144"/>
        </ext>
      </extLst>
    </bk>
    <bk>
      <extLst>
        <ext uri="{3e2802c4-a4d2-4d8b-9148-e3be6c30e623}">
          <xlrd:rvb i="145"/>
        </ext>
      </extLst>
    </bk>
    <bk>
      <extLst>
        <ext uri="{3e2802c4-a4d2-4d8b-9148-e3be6c30e623}">
          <xlrd:rvb i="146"/>
        </ext>
      </extLst>
    </bk>
    <bk>
      <extLst>
        <ext uri="{3e2802c4-a4d2-4d8b-9148-e3be6c30e623}">
          <xlrd:rvb i="147"/>
        </ext>
      </extLst>
    </bk>
    <bk>
      <extLst>
        <ext uri="{3e2802c4-a4d2-4d8b-9148-e3be6c30e623}">
          <xlrd:rvb i="148"/>
        </ext>
      </extLst>
    </bk>
    <bk>
      <extLst>
        <ext uri="{3e2802c4-a4d2-4d8b-9148-e3be6c30e623}">
          <xlrd:rvb i="149"/>
        </ext>
      </extLst>
    </bk>
    <bk>
      <extLst>
        <ext uri="{3e2802c4-a4d2-4d8b-9148-e3be6c30e623}">
          <xlrd:rvb i="150"/>
        </ext>
      </extLst>
    </bk>
    <bk>
      <extLst>
        <ext uri="{3e2802c4-a4d2-4d8b-9148-e3be6c30e623}">
          <xlrd:rvb i="151"/>
        </ext>
      </extLst>
    </bk>
    <bk>
      <extLst>
        <ext uri="{3e2802c4-a4d2-4d8b-9148-e3be6c30e623}">
          <xlrd:rvb i="152"/>
        </ext>
      </extLst>
    </bk>
    <bk>
      <extLst>
        <ext uri="{3e2802c4-a4d2-4d8b-9148-e3be6c30e623}">
          <xlrd:rvb i="153"/>
        </ext>
      </extLst>
    </bk>
    <bk>
      <extLst>
        <ext uri="{3e2802c4-a4d2-4d8b-9148-e3be6c30e623}">
          <xlrd:rvb i="154"/>
        </ext>
      </extLst>
    </bk>
    <bk>
      <extLst>
        <ext uri="{3e2802c4-a4d2-4d8b-9148-e3be6c30e623}">
          <xlrd:rvb i="155"/>
        </ext>
      </extLst>
    </bk>
    <bk>
      <extLst>
        <ext uri="{3e2802c4-a4d2-4d8b-9148-e3be6c30e623}">
          <xlrd:rvb i="156"/>
        </ext>
      </extLst>
    </bk>
    <bk>
      <extLst>
        <ext uri="{3e2802c4-a4d2-4d8b-9148-e3be6c30e623}">
          <xlrd:rvb i="157"/>
        </ext>
      </extLst>
    </bk>
    <bk>
      <extLst>
        <ext uri="{3e2802c4-a4d2-4d8b-9148-e3be6c30e623}">
          <xlrd:rvb i="158"/>
        </ext>
      </extLst>
    </bk>
    <bk>
      <extLst>
        <ext uri="{3e2802c4-a4d2-4d8b-9148-e3be6c30e623}">
          <xlrd:rvb i="159"/>
        </ext>
      </extLst>
    </bk>
    <bk>
      <extLst>
        <ext uri="{3e2802c4-a4d2-4d8b-9148-e3be6c30e623}">
          <xlrd:rvb i="160"/>
        </ext>
      </extLst>
    </bk>
    <bk>
      <extLst>
        <ext uri="{3e2802c4-a4d2-4d8b-9148-e3be6c30e623}">
          <xlrd:rvb i="161"/>
        </ext>
      </extLst>
    </bk>
    <bk>
      <extLst>
        <ext uri="{3e2802c4-a4d2-4d8b-9148-e3be6c30e623}">
          <xlrd:rvb i="162"/>
        </ext>
      </extLst>
    </bk>
    <bk>
      <extLst>
        <ext uri="{3e2802c4-a4d2-4d8b-9148-e3be6c30e623}">
          <xlrd:rvb i="163"/>
        </ext>
      </extLst>
    </bk>
    <bk>
      <extLst>
        <ext uri="{3e2802c4-a4d2-4d8b-9148-e3be6c30e623}">
          <xlrd:rvb i="164"/>
        </ext>
      </extLst>
    </bk>
    <bk>
      <extLst>
        <ext uri="{3e2802c4-a4d2-4d8b-9148-e3be6c30e623}">
          <xlrd:rvb i="165"/>
        </ext>
      </extLst>
    </bk>
    <bk>
      <extLst>
        <ext uri="{3e2802c4-a4d2-4d8b-9148-e3be6c30e623}">
          <xlrd:rvb i="166"/>
        </ext>
      </extLst>
    </bk>
    <bk>
      <extLst>
        <ext uri="{3e2802c4-a4d2-4d8b-9148-e3be6c30e623}">
          <xlrd:rvb i="167"/>
        </ext>
      </extLst>
    </bk>
    <bk>
      <extLst>
        <ext uri="{3e2802c4-a4d2-4d8b-9148-e3be6c30e623}">
          <xlrd:rvb i="168"/>
        </ext>
      </extLst>
    </bk>
    <bk>
      <extLst>
        <ext uri="{3e2802c4-a4d2-4d8b-9148-e3be6c30e623}">
          <xlrd:rvb i="169"/>
        </ext>
      </extLst>
    </bk>
    <bk>
      <extLst>
        <ext uri="{3e2802c4-a4d2-4d8b-9148-e3be6c30e623}">
          <xlrd:rvb i="170"/>
        </ext>
      </extLst>
    </bk>
    <bk>
      <extLst>
        <ext uri="{3e2802c4-a4d2-4d8b-9148-e3be6c30e623}">
          <xlrd:rvb i="171"/>
        </ext>
      </extLst>
    </bk>
    <bk>
      <extLst>
        <ext uri="{3e2802c4-a4d2-4d8b-9148-e3be6c30e623}">
          <xlrd:rvb i="172"/>
        </ext>
      </extLst>
    </bk>
    <bk>
      <extLst>
        <ext uri="{3e2802c4-a4d2-4d8b-9148-e3be6c30e623}">
          <xlrd:rvb i="173"/>
        </ext>
      </extLst>
    </bk>
    <bk>
      <extLst>
        <ext uri="{3e2802c4-a4d2-4d8b-9148-e3be6c30e623}">
          <xlrd:rvb i="174"/>
        </ext>
      </extLst>
    </bk>
    <bk>
      <extLst>
        <ext uri="{3e2802c4-a4d2-4d8b-9148-e3be6c30e623}">
          <xlrd:rvb i="175"/>
        </ext>
      </extLst>
    </bk>
    <bk>
      <extLst>
        <ext uri="{3e2802c4-a4d2-4d8b-9148-e3be6c30e623}">
          <xlrd:rvb i="176"/>
        </ext>
      </extLst>
    </bk>
    <bk>
      <extLst>
        <ext uri="{3e2802c4-a4d2-4d8b-9148-e3be6c30e623}">
          <xlrd:rvb i="177"/>
        </ext>
      </extLst>
    </bk>
    <bk>
      <extLst>
        <ext uri="{3e2802c4-a4d2-4d8b-9148-e3be6c30e623}">
          <xlrd:rvb i="178"/>
        </ext>
      </extLst>
    </bk>
    <bk>
      <extLst>
        <ext uri="{3e2802c4-a4d2-4d8b-9148-e3be6c30e623}">
          <xlrd:rvb i="179"/>
        </ext>
      </extLst>
    </bk>
    <bk>
      <extLst>
        <ext uri="{3e2802c4-a4d2-4d8b-9148-e3be6c30e623}">
          <xlrd:rvb i="180"/>
        </ext>
      </extLst>
    </bk>
    <bk>
      <extLst>
        <ext uri="{3e2802c4-a4d2-4d8b-9148-e3be6c30e623}">
          <xlrd:rvb i="181"/>
        </ext>
      </extLst>
    </bk>
    <bk>
      <extLst>
        <ext uri="{3e2802c4-a4d2-4d8b-9148-e3be6c30e623}">
          <xlrd:rvb i="182"/>
        </ext>
      </extLst>
    </bk>
    <bk>
      <extLst>
        <ext uri="{3e2802c4-a4d2-4d8b-9148-e3be6c30e623}">
          <xlrd:rvb i="183"/>
        </ext>
      </extLst>
    </bk>
    <bk>
      <extLst>
        <ext uri="{3e2802c4-a4d2-4d8b-9148-e3be6c30e623}">
          <xlrd:rvb i="184"/>
        </ext>
      </extLst>
    </bk>
    <bk>
      <extLst>
        <ext uri="{3e2802c4-a4d2-4d8b-9148-e3be6c30e623}">
          <xlrd:rvb i="185"/>
        </ext>
      </extLst>
    </bk>
    <bk>
      <extLst>
        <ext uri="{3e2802c4-a4d2-4d8b-9148-e3be6c30e623}">
          <xlrd:rvb i="186"/>
        </ext>
      </extLst>
    </bk>
    <bk>
      <extLst>
        <ext uri="{3e2802c4-a4d2-4d8b-9148-e3be6c30e623}">
          <xlrd:rvb i="187"/>
        </ext>
      </extLst>
    </bk>
    <bk>
      <extLst>
        <ext uri="{3e2802c4-a4d2-4d8b-9148-e3be6c30e623}">
          <xlrd:rvb i="188"/>
        </ext>
      </extLst>
    </bk>
    <bk>
      <extLst>
        <ext uri="{3e2802c4-a4d2-4d8b-9148-e3be6c30e623}">
          <xlrd:rvb i="189"/>
        </ext>
      </extLst>
    </bk>
    <bk>
      <extLst>
        <ext uri="{3e2802c4-a4d2-4d8b-9148-e3be6c30e623}">
          <xlrd:rvb i="190"/>
        </ext>
      </extLst>
    </bk>
    <bk>
      <extLst>
        <ext uri="{3e2802c4-a4d2-4d8b-9148-e3be6c30e623}">
          <xlrd:rvb i="191"/>
        </ext>
      </extLst>
    </bk>
    <bk>
      <extLst>
        <ext uri="{3e2802c4-a4d2-4d8b-9148-e3be6c30e623}">
          <xlrd:rvb i="192"/>
        </ext>
      </extLst>
    </bk>
    <bk>
      <extLst>
        <ext uri="{3e2802c4-a4d2-4d8b-9148-e3be6c30e623}">
          <xlrd:rvb i="193"/>
        </ext>
      </extLst>
    </bk>
    <bk>
      <extLst>
        <ext uri="{3e2802c4-a4d2-4d8b-9148-e3be6c30e623}">
          <xlrd:rvb i="194"/>
        </ext>
      </extLst>
    </bk>
    <bk>
      <extLst>
        <ext uri="{3e2802c4-a4d2-4d8b-9148-e3be6c30e623}">
          <xlrd:rvb i="195"/>
        </ext>
      </extLst>
    </bk>
    <bk>
      <extLst>
        <ext uri="{3e2802c4-a4d2-4d8b-9148-e3be6c30e623}">
          <xlrd:rvb i="196"/>
        </ext>
      </extLst>
    </bk>
    <bk>
      <extLst>
        <ext uri="{3e2802c4-a4d2-4d8b-9148-e3be6c30e623}">
          <xlrd:rvb i="197"/>
        </ext>
      </extLst>
    </bk>
    <bk>
      <extLst>
        <ext uri="{3e2802c4-a4d2-4d8b-9148-e3be6c30e623}">
          <xlrd:rvb i="198"/>
        </ext>
      </extLst>
    </bk>
    <bk>
      <extLst>
        <ext uri="{3e2802c4-a4d2-4d8b-9148-e3be6c30e623}">
          <xlrd:rvb i="199"/>
        </ext>
      </extLst>
    </bk>
    <bk>
      <extLst>
        <ext uri="{3e2802c4-a4d2-4d8b-9148-e3be6c30e623}">
          <xlrd:rvb i="200"/>
        </ext>
      </extLst>
    </bk>
    <bk>
      <extLst>
        <ext uri="{3e2802c4-a4d2-4d8b-9148-e3be6c30e623}">
          <xlrd:rvb i="201"/>
        </ext>
      </extLst>
    </bk>
    <bk>
      <extLst>
        <ext uri="{3e2802c4-a4d2-4d8b-9148-e3be6c30e623}">
          <xlrd:rvb i="202"/>
        </ext>
      </extLst>
    </bk>
    <bk>
      <extLst>
        <ext uri="{3e2802c4-a4d2-4d8b-9148-e3be6c30e623}">
          <xlrd:rvb i="203"/>
        </ext>
      </extLst>
    </bk>
    <bk>
      <extLst>
        <ext uri="{3e2802c4-a4d2-4d8b-9148-e3be6c30e623}">
          <xlrd:rvb i="204"/>
        </ext>
      </extLst>
    </bk>
    <bk>
      <extLst>
        <ext uri="{3e2802c4-a4d2-4d8b-9148-e3be6c30e623}">
          <xlrd:rvb i="205"/>
        </ext>
      </extLst>
    </bk>
    <bk>
      <extLst>
        <ext uri="{3e2802c4-a4d2-4d8b-9148-e3be6c30e623}">
          <xlrd:rvb i="206"/>
        </ext>
      </extLst>
    </bk>
    <bk>
      <extLst>
        <ext uri="{3e2802c4-a4d2-4d8b-9148-e3be6c30e623}">
          <xlrd:rvb i="207"/>
        </ext>
      </extLst>
    </bk>
    <bk>
      <extLst>
        <ext uri="{3e2802c4-a4d2-4d8b-9148-e3be6c30e623}">
          <xlrd:rvb i="208"/>
        </ext>
      </extLst>
    </bk>
    <bk>
      <extLst>
        <ext uri="{3e2802c4-a4d2-4d8b-9148-e3be6c30e623}">
          <xlrd:rvb i="209"/>
        </ext>
      </extLst>
    </bk>
    <bk>
      <extLst>
        <ext uri="{3e2802c4-a4d2-4d8b-9148-e3be6c30e623}">
          <xlrd:rvb i="210"/>
        </ext>
      </extLst>
    </bk>
    <bk>
      <extLst>
        <ext uri="{3e2802c4-a4d2-4d8b-9148-e3be6c30e623}">
          <xlrd:rvb i="211"/>
        </ext>
      </extLst>
    </bk>
    <bk>
      <extLst>
        <ext uri="{3e2802c4-a4d2-4d8b-9148-e3be6c30e623}">
          <xlrd:rvb i="212"/>
        </ext>
      </extLst>
    </bk>
    <bk>
      <extLst>
        <ext uri="{3e2802c4-a4d2-4d8b-9148-e3be6c30e623}">
          <xlrd:rvb i="213"/>
        </ext>
      </extLst>
    </bk>
    <bk>
      <extLst>
        <ext uri="{3e2802c4-a4d2-4d8b-9148-e3be6c30e623}">
          <xlrd:rvb i="214"/>
        </ext>
      </extLst>
    </bk>
    <bk>
      <extLst>
        <ext uri="{3e2802c4-a4d2-4d8b-9148-e3be6c30e623}">
          <xlrd:rvb i="215"/>
        </ext>
      </extLst>
    </bk>
    <bk>
      <extLst>
        <ext uri="{3e2802c4-a4d2-4d8b-9148-e3be6c30e623}">
          <xlrd:rvb i="216"/>
        </ext>
      </extLst>
    </bk>
    <bk>
      <extLst>
        <ext uri="{3e2802c4-a4d2-4d8b-9148-e3be6c30e623}">
          <xlrd:rvb i="217"/>
        </ext>
      </extLst>
    </bk>
    <bk>
      <extLst>
        <ext uri="{3e2802c4-a4d2-4d8b-9148-e3be6c30e623}">
          <xlrd:rvb i="218"/>
        </ext>
      </extLst>
    </bk>
    <bk>
      <extLst>
        <ext uri="{3e2802c4-a4d2-4d8b-9148-e3be6c30e623}">
          <xlrd:rvb i="219"/>
        </ext>
      </extLst>
    </bk>
    <bk>
      <extLst>
        <ext uri="{3e2802c4-a4d2-4d8b-9148-e3be6c30e623}">
          <xlrd:rvb i="220"/>
        </ext>
      </extLst>
    </bk>
    <bk>
      <extLst>
        <ext uri="{3e2802c4-a4d2-4d8b-9148-e3be6c30e623}">
          <xlrd:rvb i="221"/>
        </ext>
      </extLst>
    </bk>
    <bk>
      <extLst>
        <ext uri="{3e2802c4-a4d2-4d8b-9148-e3be6c30e623}">
          <xlrd:rvb i="222"/>
        </ext>
      </extLst>
    </bk>
    <bk>
      <extLst>
        <ext uri="{3e2802c4-a4d2-4d8b-9148-e3be6c30e623}">
          <xlrd:rvb i="223"/>
        </ext>
      </extLst>
    </bk>
    <bk>
      <extLst>
        <ext uri="{3e2802c4-a4d2-4d8b-9148-e3be6c30e623}">
          <xlrd:rvb i="224"/>
        </ext>
      </extLst>
    </bk>
    <bk>
      <extLst>
        <ext uri="{3e2802c4-a4d2-4d8b-9148-e3be6c30e623}">
          <xlrd:rvb i="225"/>
        </ext>
      </extLst>
    </bk>
    <bk>
      <extLst>
        <ext uri="{3e2802c4-a4d2-4d8b-9148-e3be6c30e623}">
          <xlrd:rvb i="226"/>
        </ext>
      </extLst>
    </bk>
    <bk>
      <extLst>
        <ext uri="{3e2802c4-a4d2-4d8b-9148-e3be6c30e623}">
          <xlrd:rvb i="227"/>
        </ext>
      </extLst>
    </bk>
    <bk>
      <extLst>
        <ext uri="{3e2802c4-a4d2-4d8b-9148-e3be6c30e623}">
          <xlrd:rvb i="228"/>
        </ext>
      </extLst>
    </bk>
    <bk>
      <extLst>
        <ext uri="{3e2802c4-a4d2-4d8b-9148-e3be6c30e623}">
          <xlrd:rvb i="229"/>
        </ext>
      </extLst>
    </bk>
    <bk>
      <extLst>
        <ext uri="{3e2802c4-a4d2-4d8b-9148-e3be6c30e623}">
          <xlrd:rvb i="230"/>
        </ext>
      </extLst>
    </bk>
    <bk>
      <extLst>
        <ext uri="{3e2802c4-a4d2-4d8b-9148-e3be6c30e623}">
          <xlrd:rvb i="231"/>
        </ext>
      </extLst>
    </bk>
    <bk>
      <extLst>
        <ext uri="{3e2802c4-a4d2-4d8b-9148-e3be6c30e623}">
          <xlrd:rvb i="232"/>
        </ext>
      </extLst>
    </bk>
    <bk>
      <extLst>
        <ext uri="{3e2802c4-a4d2-4d8b-9148-e3be6c30e623}">
          <xlrd:rvb i="233"/>
        </ext>
      </extLst>
    </bk>
    <bk>
      <extLst>
        <ext uri="{3e2802c4-a4d2-4d8b-9148-e3be6c30e623}">
          <xlrd:rvb i="234"/>
        </ext>
      </extLst>
    </bk>
    <bk>
      <extLst>
        <ext uri="{3e2802c4-a4d2-4d8b-9148-e3be6c30e623}">
          <xlrd:rvb i="235"/>
        </ext>
      </extLst>
    </bk>
    <bk>
      <extLst>
        <ext uri="{3e2802c4-a4d2-4d8b-9148-e3be6c30e623}">
          <xlrd:rvb i="236"/>
        </ext>
      </extLst>
    </bk>
    <bk>
      <extLst>
        <ext uri="{3e2802c4-a4d2-4d8b-9148-e3be6c30e623}">
          <xlrd:rvb i="237"/>
        </ext>
      </extLst>
    </bk>
    <bk>
      <extLst>
        <ext uri="{3e2802c4-a4d2-4d8b-9148-e3be6c30e623}">
          <xlrd:rvb i="238"/>
        </ext>
      </extLst>
    </bk>
    <bk>
      <extLst>
        <ext uri="{3e2802c4-a4d2-4d8b-9148-e3be6c30e623}">
          <xlrd:rvb i="239"/>
        </ext>
      </extLst>
    </bk>
    <bk>
      <extLst>
        <ext uri="{3e2802c4-a4d2-4d8b-9148-e3be6c30e623}">
          <xlrd:rvb i="240"/>
        </ext>
      </extLst>
    </bk>
    <bk>
      <extLst>
        <ext uri="{3e2802c4-a4d2-4d8b-9148-e3be6c30e623}">
          <xlrd:rvb i="241"/>
        </ext>
      </extLst>
    </bk>
    <bk>
      <extLst>
        <ext uri="{3e2802c4-a4d2-4d8b-9148-e3be6c30e623}">
          <xlrd:rvb i="242"/>
        </ext>
      </extLst>
    </bk>
    <bk>
      <extLst>
        <ext uri="{3e2802c4-a4d2-4d8b-9148-e3be6c30e623}">
          <xlrd:rvb i="243"/>
        </ext>
      </extLst>
    </bk>
    <bk>
      <extLst>
        <ext uri="{3e2802c4-a4d2-4d8b-9148-e3be6c30e623}">
          <xlrd:rvb i="244"/>
        </ext>
      </extLst>
    </bk>
    <bk>
      <extLst>
        <ext uri="{3e2802c4-a4d2-4d8b-9148-e3be6c30e623}">
          <xlrd:rvb i="245"/>
        </ext>
      </extLst>
    </bk>
    <bk>
      <extLst>
        <ext uri="{3e2802c4-a4d2-4d8b-9148-e3be6c30e623}">
          <xlrd:rvb i="246"/>
        </ext>
      </extLst>
    </bk>
    <bk>
      <extLst>
        <ext uri="{3e2802c4-a4d2-4d8b-9148-e3be6c30e623}">
          <xlrd:rvb i="247"/>
        </ext>
      </extLst>
    </bk>
    <bk>
      <extLst>
        <ext uri="{3e2802c4-a4d2-4d8b-9148-e3be6c30e623}">
          <xlrd:rvb i="248"/>
        </ext>
      </extLst>
    </bk>
    <bk>
      <extLst>
        <ext uri="{3e2802c4-a4d2-4d8b-9148-e3be6c30e623}">
          <xlrd:rvb i="249"/>
        </ext>
      </extLst>
    </bk>
    <bk>
      <extLst>
        <ext uri="{3e2802c4-a4d2-4d8b-9148-e3be6c30e623}">
          <xlrd:rvb i="250"/>
        </ext>
      </extLst>
    </bk>
    <bk>
      <extLst>
        <ext uri="{3e2802c4-a4d2-4d8b-9148-e3be6c30e623}">
          <xlrd:rvb i="251"/>
        </ext>
      </extLst>
    </bk>
    <bk>
      <extLst>
        <ext uri="{3e2802c4-a4d2-4d8b-9148-e3be6c30e623}">
          <xlrd:rvb i="252"/>
        </ext>
      </extLst>
    </bk>
    <bk>
      <extLst>
        <ext uri="{3e2802c4-a4d2-4d8b-9148-e3be6c30e623}">
          <xlrd:rvb i="253"/>
        </ext>
      </extLst>
    </bk>
    <bk>
      <extLst>
        <ext uri="{3e2802c4-a4d2-4d8b-9148-e3be6c30e623}">
          <xlrd:rvb i="254"/>
        </ext>
      </extLst>
    </bk>
    <bk>
      <extLst>
        <ext uri="{3e2802c4-a4d2-4d8b-9148-e3be6c30e623}">
          <xlrd:rvb i="255"/>
        </ext>
      </extLst>
    </bk>
    <bk>
      <extLst>
        <ext uri="{3e2802c4-a4d2-4d8b-9148-e3be6c30e623}">
          <xlrd:rvb i="256"/>
        </ext>
      </extLst>
    </bk>
    <bk>
      <extLst>
        <ext uri="{3e2802c4-a4d2-4d8b-9148-e3be6c30e623}">
          <xlrd:rvb i="257"/>
        </ext>
      </extLst>
    </bk>
    <bk>
      <extLst>
        <ext uri="{3e2802c4-a4d2-4d8b-9148-e3be6c30e623}">
          <xlrd:rvb i="258"/>
        </ext>
      </extLst>
    </bk>
    <bk>
      <extLst>
        <ext uri="{3e2802c4-a4d2-4d8b-9148-e3be6c30e623}">
          <xlrd:rvb i="259"/>
        </ext>
      </extLst>
    </bk>
    <bk>
      <extLst>
        <ext uri="{3e2802c4-a4d2-4d8b-9148-e3be6c30e623}">
          <xlrd:rvb i="260"/>
        </ext>
      </extLst>
    </bk>
    <bk>
      <extLst>
        <ext uri="{3e2802c4-a4d2-4d8b-9148-e3be6c30e623}">
          <xlrd:rvb i="261"/>
        </ext>
      </extLst>
    </bk>
    <bk>
      <extLst>
        <ext uri="{3e2802c4-a4d2-4d8b-9148-e3be6c30e623}">
          <xlrd:rvb i="262"/>
        </ext>
      </extLst>
    </bk>
    <bk>
      <extLst>
        <ext uri="{3e2802c4-a4d2-4d8b-9148-e3be6c30e623}">
          <xlrd:rvb i="263"/>
        </ext>
      </extLst>
    </bk>
    <bk>
      <extLst>
        <ext uri="{3e2802c4-a4d2-4d8b-9148-e3be6c30e623}">
          <xlrd:rvb i="264"/>
        </ext>
      </extLst>
    </bk>
    <bk>
      <extLst>
        <ext uri="{3e2802c4-a4d2-4d8b-9148-e3be6c30e623}">
          <xlrd:rvb i="265"/>
        </ext>
      </extLst>
    </bk>
    <bk>
      <extLst>
        <ext uri="{3e2802c4-a4d2-4d8b-9148-e3be6c30e623}">
          <xlrd:rvb i="266"/>
        </ext>
      </extLst>
    </bk>
    <bk>
      <extLst>
        <ext uri="{3e2802c4-a4d2-4d8b-9148-e3be6c30e623}">
          <xlrd:rvb i="267"/>
        </ext>
      </extLst>
    </bk>
    <bk>
      <extLst>
        <ext uri="{3e2802c4-a4d2-4d8b-9148-e3be6c30e623}">
          <xlrd:rvb i="268"/>
        </ext>
      </extLst>
    </bk>
    <bk>
      <extLst>
        <ext uri="{3e2802c4-a4d2-4d8b-9148-e3be6c30e623}">
          <xlrd:rvb i="269"/>
        </ext>
      </extLst>
    </bk>
    <bk>
      <extLst>
        <ext uri="{3e2802c4-a4d2-4d8b-9148-e3be6c30e623}">
          <xlrd:rvb i="270"/>
        </ext>
      </extLst>
    </bk>
    <bk>
      <extLst>
        <ext uri="{3e2802c4-a4d2-4d8b-9148-e3be6c30e623}">
          <xlrd:rvb i="271"/>
        </ext>
      </extLst>
    </bk>
    <bk>
      <extLst>
        <ext uri="{3e2802c4-a4d2-4d8b-9148-e3be6c30e623}">
          <xlrd:rvb i="272"/>
        </ext>
      </extLst>
    </bk>
    <bk>
      <extLst>
        <ext uri="{3e2802c4-a4d2-4d8b-9148-e3be6c30e623}">
          <xlrd:rvb i="273"/>
        </ext>
      </extLst>
    </bk>
    <bk>
      <extLst>
        <ext uri="{3e2802c4-a4d2-4d8b-9148-e3be6c30e623}">
          <xlrd:rvb i="274"/>
        </ext>
      </extLst>
    </bk>
    <bk>
      <extLst>
        <ext uri="{3e2802c4-a4d2-4d8b-9148-e3be6c30e623}">
          <xlrd:rvb i="275"/>
        </ext>
      </extLst>
    </bk>
    <bk>
      <extLst>
        <ext uri="{3e2802c4-a4d2-4d8b-9148-e3be6c30e623}">
          <xlrd:rvb i="276"/>
        </ext>
      </extLst>
    </bk>
    <bk>
      <extLst>
        <ext uri="{3e2802c4-a4d2-4d8b-9148-e3be6c30e623}">
          <xlrd:rvb i="277"/>
        </ext>
      </extLst>
    </bk>
    <bk>
      <extLst>
        <ext uri="{3e2802c4-a4d2-4d8b-9148-e3be6c30e623}">
          <xlrd:rvb i="278"/>
        </ext>
      </extLst>
    </bk>
    <bk>
      <extLst>
        <ext uri="{3e2802c4-a4d2-4d8b-9148-e3be6c30e623}">
          <xlrd:rvb i="279"/>
        </ext>
      </extLst>
    </bk>
    <bk>
      <extLst>
        <ext uri="{3e2802c4-a4d2-4d8b-9148-e3be6c30e623}">
          <xlrd:rvb i="280"/>
        </ext>
      </extLst>
    </bk>
    <bk>
      <extLst>
        <ext uri="{3e2802c4-a4d2-4d8b-9148-e3be6c30e623}">
          <xlrd:rvb i="281"/>
        </ext>
      </extLst>
    </bk>
    <bk>
      <extLst>
        <ext uri="{3e2802c4-a4d2-4d8b-9148-e3be6c30e623}">
          <xlrd:rvb i="282"/>
        </ext>
      </extLst>
    </bk>
    <bk>
      <extLst>
        <ext uri="{3e2802c4-a4d2-4d8b-9148-e3be6c30e623}">
          <xlrd:rvb i="283"/>
        </ext>
      </extLst>
    </bk>
    <bk>
      <extLst>
        <ext uri="{3e2802c4-a4d2-4d8b-9148-e3be6c30e623}">
          <xlrd:rvb i="284"/>
        </ext>
      </extLst>
    </bk>
    <bk>
      <extLst>
        <ext uri="{3e2802c4-a4d2-4d8b-9148-e3be6c30e623}">
          <xlrd:rvb i="285"/>
        </ext>
      </extLst>
    </bk>
    <bk>
      <extLst>
        <ext uri="{3e2802c4-a4d2-4d8b-9148-e3be6c30e623}">
          <xlrd:rvb i="286"/>
        </ext>
      </extLst>
    </bk>
    <bk>
      <extLst>
        <ext uri="{3e2802c4-a4d2-4d8b-9148-e3be6c30e623}">
          <xlrd:rvb i="287"/>
        </ext>
      </extLst>
    </bk>
    <bk>
      <extLst>
        <ext uri="{3e2802c4-a4d2-4d8b-9148-e3be6c30e623}">
          <xlrd:rvb i="288"/>
        </ext>
      </extLst>
    </bk>
    <bk>
      <extLst>
        <ext uri="{3e2802c4-a4d2-4d8b-9148-e3be6c30e623}">
          <xlrd:rvb i="289"/>
        </ext>
      </extLst>
    </bk>
    <bk>
      <extLst>
        <ext uri="{3e2802c4-a4d2-4d8b-9148-e3be6c30e623}">
          <xlrd:rvb i="290"/>
        </ext>
      </extLst>
    </bk>
    <bk>
      <extLst>
        <ext uri="{3e2802c4-a4d2-4d8b-9148-e3be6c30e623}">
          <xlrd:rvb i="291"/>
        </ext>
      </extLst>
    </bk>
    <bk>
      <extLst>
        <ext uri="{3e2802c4-a4d2-4d8b-9148-e3be6c30e623}">
          <xlrd:rvb i="292"/>
        </ext>
      </extLst>
    </bk>
    <bk>
      <extLst>
        <ext uri="{3e2802c4-a4d2-4d8b-9148-e3be6c30e623}">
          <xlrd:rvb i="293"/>
        </ext>
      </extLst>
    </bk>
    <bk>
      <extLst>
        <ext uri="{3e2802c4-a4d2-4d8b-9148-e3be6c30e623}">
          <xlrd:rvb i="294"/>
        </ext>
      </extLst>
    </bk>
    <bk>
      <extLst>
        <ext uri="{3e2802c4-a4d2-4d8b-9148-e3be6c30e623}">
          <xlrd:rvb i="295"/>
        </ext>
      </extLst>
    </bk>
    <bk>
      <extLst>
        <ext uri="{3e2802c4-a4d2-4d8b-9148-e3be6c30e623}">
          <xlrd:rvb i="296"/>
        </ext>
      </extLst>
    </bk>
    <bk>
      <extLst>
        <ext uri="{3e2802c4-a4d2-4d8b-9148-e3be6c30e623}">
          <xlrd:rvb i="297"/>
        </ext>
      </extLst>
    </bk>
    <bk>
      <extLst>
        <ext uri="{3e2802c4-a4d2-4d8b-9148-e3be6c30e623}">
          <xlrd:rvb i="298"/>
        </ext>
      </extLst>
    </bk>
    <bk>
      <extLst>
        <ext uri="{3e2802c4-a4d2-4d8b-9148-e3be6c30e623}">
          <xlrd:rvb i="299"/>
        </ext>
      </extLst>
    </bk>
    <bk>
      <extLst>
        <ext uri="{3e2802c4-a4d2-4d8b-9148-e3be6c30e623}">
          <xlrd:rvb i="300"/>
        </ext>
      </extLst>
    </bk>
    <bk>
      <extLst>
        <ext uri="{3e2802c4-a4d2-4d8b-9148-e3be6c30e623}">
          <xlrd:rvb i="301"/>
        </ext>
      </extLst>
    </bk>
    <bk>
      <extLst>
        <ext uri="{3e2802c4-a4d2-4d8b-9148-e3be6c30e623}">
          <xlrd:rvb i="302"/>
        </ext>
      </extLst>
    </bk>
    <bk>
      <extLst>
        <ext uri="{3e2802c4-a4d2-4d8b-9148-e3be6c30e623}">
          <xlrd:rvb i="303"/>
        </ext>
      </extLst>
    </bk>
    <bk>
      <extLst>
        <ext uri="{3e2802c4-a4d2-4d8b-9148-e3be6c30e623}">
          <xlrd:rvb i="304"/>
        </ext>
      </extLst>
    </bk>
    <bk>
      <extLst>
        <ext uri="{3e2802c4-a4d2-4d8b-9148-e3be6c30e623}">
          <xlrd:rvb i="305"/>
        </ext>
      </extLst>
    </bk>
    <bk>
      <extLst>
        <ext uri="{3e2802c4-a4d2-4d8b-9148-e3be6c30e623}">
          <xlrd:rvb i="306"/>
        </ext>
      </extLst>
    </bk>
    <bk>
      <extLst>
        <ext uri="{3e2802c4-a4d2-4d8b-9148-e3be6c30e623}">
          <xlrd:rvb i="307"/>
        </ext>
      </extLst>
    </bk>
    <bk>
      <extLst>
        <ext uri="{3e2802c4-a4d2-4d8b-9148-e3be6c30e623}">
          <xlrd:rvb i="308"/>
        </ext>
      </extLst>
    </bk>
    <bk>
      <extLst>
        <ext uri="{3e2802c4-a4d2-4d8b-9148-e3be6c30e623}">
          <xlrd:rvb i="309"/>
        </ext>
      </extLst>
    </bk>
    <bk>
      <extLst>
        <ext uri="{3e2802c4-a4d2-4d8b-9148-e3be6c30e623}">
          <xlrd:rvb i="310"/>
        </ext>
      </extLst>
    </bk>
    <bk>
      <extLst>
        <ext uri="{3e2802c4-a4d2-4d8b-9148-e3be6c30e623}">
          <xlrd:rvb i="311"/>
        </ext>
      </extLst>
    </bk>
    <bk>
      <extLst>
        <ext uri="{3e2802c4-a4d2-4d8b-9148-e3be6c30e623}">
          <xlrd:rvb i="312"/>
        </ext>
      </extLst>
    </bk>
    <bk>
      <extLst>
        <ext uri="{3e2802c4-a4d2-4d8b-9148-e3be6c30e623}">
          <xlrd:rvb i="313"/>
        </ext>
      </extLst>
    </bk>
    <bk>
      <extLst>
        <ext uri="{3e2802c4-a4d2-4d8b-9148-e3be6c30e623}">
          <xlrd:rvb i="314"/>
        </ext>
      </extLst>
    </bk>
    <bk>
      <extLst>
        <ext uri="{3e2802c4-a4d2-4d8b-9148-e3be6c30e623}">
          <xlrd:rvb i="315"/>
        </ext>
      </extLst>
    </bk>
    <bk>
      <extLst>
        <ext uri="{3e2802c4-a4d2-4d8b-9148-e3be6c30e623}">
          <xlrd:rvb i="316"/>
        </ext>
      </extLst>
    </bk>
    <bk>
      <extLst>
        <ext uri="{3e2802c4-a4d2-4d8b-9148-e3be6c30e623}">
          <xlrd:rvb i="317"/>
        </ext>
      </extLst>
    </bk>
    <bk>
      <extLst>
        <ext uri="{3e2802c4-a4d2-4d8b-9148-e3be6c30e623}">
          <xlrd:rvb i="318"/>
        </ext>
      </extLst>
    </bk>
    <bk>
      <extLst>
        <ext uri="{3e2802c4-a4d2-4d8b-9148-e3be6c30e623}">
          <xlrd:rvb i="319"/>
        </ext>
      </extLst>
    </bk>
    <bk>
      <extLst>
        <ext uri="{3e2802c4-a4d2-4d8b-9148-e3be6c30e623}">
          <xlrd:rvb i="320"/>
        </ext>
      </extLst>
    </bk>
    <bk>
      <extLst>
        <ext uri="{3e2802c4-a4d2-4d8b-9148-e3be6c30e623}">
          <xlrd:rvb i="321"/>
        </ext>
      </extLst>
    </bk>
    <bk>
      <extLst>
        <ext uri="{3e2802c4-a4d2-4d8b-9148-e3be6c30e623}">
          <xlrd:rvb i="322"/>
        </ext>
      </extLst>
    </bk>
    <bk>
      <extLst>
        <ext uri="{3e2802c4-a4d2-4d8b-9148-e3be6c30e623}">
          <xlrd:rvb i="323"/>
        </ext>
      </extLst>
    </bk>
    <bk>
      <extLst>
        <ext uri="{3e2802c4-a4d2-4d8b-9148-e3be6c30e623}">
          <xlrd:rvb i="324"/>
        </ext>
      </extLst>
    </bk>
    <bk>
      <extLst>
        <ext uri="{3e2802c4-a4d2-4d8b-9148-e3be6c30e623}">
          <xlrd:rvb i="325"/>
        </ext>
      </extLst>
    </bk>
    <bk>
      <extLst>
        <ext uri="{3e2802c4-a4d2-4d8b-9148-e3be6c30e623}">
          <xlrd:rvb i="326"/>
        </ext>
      </extLst>
    </bk>
    <bk>
      <extLst>
        <ext uri="{3e2802c4-a4d2-4d8b-9148-e3be6c30e623}">
          <xlrd:rvb i="327"/>
        </ext>
      </extLst>
    </bk>
    <bk>
      <extLst>
        <ext uri="{3e2802c4-a4d2-4d8b-9148-e3be6c30e623}">
          <xlrd:rvb i="328"/>
        </ext>
      </extLst>
    </bk>
    <bk>
      <extLst>
        <ext uri="{3e2802c4-a4d2-4d8b-9148-e3be6c30e623}">
          <xlrd:rvb i="329"/>
        </ext>
      </extLst>
    </bk>
    <bk>
      <extLst>
        <ext uri="{3e2802c4-a4d2-4d8b-9148-e3be6c30e623}">
          <xlrd:rvb i="330"/>
        </ext>
      </extLst>
    </bk>
    <bk>
      <extLst>
        <ext uri="{3e2802c4-a4d2-4d8b-9148-e3be6c30e623}">
          <xlrd:rvb i="331"/>
        </ext>
      </extLst>
    </bk>
    <bk>
      <extLst>
        <ext uri="{3e2802c4-a4d2-4d8b-9148-e3be6c30e623}">
          <xlrd:rvb i="332"/>
        </ext>
      </extLst>
    </bk>
    <bk>
      <extLst>
        <ext uri="{3e2802c4-a4d2-4d8b-9148-e3be6c30e623}">
          <xlrd:rvb i="333"/>
        </ext>
      </extLst>
    </bk>
    <bk>
      <extLst>
        <ext uri="{3e2802c4-a4d2-4d8b-9148-e3be6c30e623}">
          <xlrd:rvb i="334"/>
        </ext>
      </extLst>
    </bk>
    <bk>
      <extLst>
        <ext uri="{3e2802c4-a4d2-4d8b-9148-e3be6c30e623}">
          <xlrd:rvb i="335"/>
        </ext>
      </extLst>
    </bk>
    <bk>
      <extLst>
        <ext uri="{3e2802c4-a4d2-4d8b-9148-e3be6c30e623}">
          <xlrd:rvb i="336"/>
        </ext>
      </extLst>
    </bk>
    <bk>
      <extLst>
        <ext uri="{3e2802c4-a4d2-4d8b-9148-e3be6c30e623}">
          <xlrd:rvb i="337"/>
        </ext>
      </extLst>
    </bk>
    <bk>
      <extLst>
        <ext uri="{3e2802c4-a4d2-4d8b-9148-e3be6c30e623}">
          <xlrd:rvb i="338"/>
        </ext>
      </extLst>
    </bk>
    <bk>
      <extLst>
        <ext uri="{3e2802c4-a4d2-4d8b-9148-e3be6c30e623}">
          <xlrd:rvb i="339"/>
        </ext>
      </extLst>
    </bk>
    <bk>
      <extLst>
        <ext uri="{3e2802c4-a4d2-4d8b-9148-e3be6c30e623}">
          <xlrd:rvb i="340"/>
        </ext>
      </extLst>
    </bk>
    <bk>
      <extLst>
        <ext uri="{3e2802c4-a4d2-4d8b-9148-e3be6c30e623}">
          <xlrd:rvb i="341"/>
        </ext>
      </extLst>
    </bk>
    <bk>
      <extLst>
        <ext uri="{3e2802c4-a4d2-4d8b-9148-e3be6c30e623}">
          <xlrd:rvb i="342"/>
        </ext>
      </extLst>
    </bk>
    <bk>
      <extLst>
        <ext uri="{3e2802c4-a4d2-4d8b-9148-e3be6c30e623}">
          <xlrd:rvb i="343"/>
        </ext>
      </extLst>
    </bk>
    <bk>
      <extLst>
        <ext uri="{3e2802c4-a4d2-4d8b-9148-e3be6c30e623}">
          <xlrd:rvb i="344"/>
        </ext>
      </extLst>
    </bk>
    <bk>
      <extLst>
        <ext uri="{3e2802c4-a4d2-4d8b-9148-e3be6c30e623}">
          <xlrd:rvb i="345"/>
        </ext>
      </extLst>
    </bk>
    <bk>
      <extLst>
        <ext uri="{3e2802c4-a4d2-4d8b-9148-e3be6c30e623}">
          <xlrd:rvb i="346"/>
        </ext>
      </extLst>
    </bk>
    <bk>
      <extLst>
        <ext uri="{3e2802c4-a4d2-4d8b-9148-e3be6c30e623}">
          <xlrd:rvb i="347"/>
        </ext>
      </extLst>
    </bk>
    <bk>
      <extLst>
        <ext uri="{3e2802c4-a4d2-4d8b-9148-e3be6c30e623}">
          <xlrd:rvb i="348"/>
        </ext>
      </extLst>
    </bk>
    <bk>
      <extLst>
        <ext uri="{3e2802c4-a4d2-4d8b-9148-e3be6c30e623}">
          <xlrd:rvb i="349"/>
        </ext>
      </extLst>
    </bk>
    <bk>
      <extLst>
        <ext uri="{3e2802c4-a4d2-4d8b-9148-e3be6c30e623}">
          <xlrd:rvb i="350"/>
        </ext>
      </extLst>
    </bk>
    <bk>
      <extLst>
        <ext uri="{3e2802c4-a4d2-4d8b-9148-e3be6c30e623}">
          <xlrd:rvb i="351"/>
        </ext>
      </extLst>
    </bk>
    <bk>
      <extLst>
        <ext uri="{3e2802c4-a4d2-4d8b-9148-e3be6c30e623}">
          <xlrd:rvb i="352"/>
        </ext>
      </extLst>
    </bk>
    <bk>
      <extLst>
        <ext uri="{3e2802c4-a4d2-4d8b-9148-e3be6c30e623}">
          <xlrd:rvb i="353"/>
        </ext>
      </extLst>
    </bk>
    <bk>
      <extLst>
        <ext uri="{3e2802c4-a4d2-4d8b-9148-e3be6c30e623}">
          <xlrd:rvb i="354"/>
        </ext>
      </extLst>
    </bk>
    <bk>
      <extLst>
        <ext uri="{3e2802c4-a4d2-4d8b-9148-e3be6c30e623}">
          <xlrd:rvb i="355"/>
        </ext>
      </extLst>
    </bk>
    <bk>
      <extLst>
        <ext uri="{3e2802c4-a4d2-4d8b-9148-e3be6c30e623}">
          <xlrd:rvb i="356"/>
        </ext>
      </extLst>
    </bk>
    <bk>
      <extLst>
        <ext uri="{3e2802c4-a4d2-4d8b-9148-e3be6c30e623}">
          <xlrd:rvb i="357"/>
        </ext>
      </extLst>
    </bk>
    <bk>
      <extLst>
        <ext uri="{3e2802c4-a4d2-4d8b-9148-e3be6c30e623}">
          <xlrd:rvb i="358"/>
        </ext>
      </extLst>
    </bk>
    <bk>
      <extLst>
        <ext uri="{3e2802c4-a4d2-4d8b-9148-e3be6c30e623}">
          <xlrd:rvb i="359"/>
        </ext>
      </extLst>
    </bk>
    <bk>
      <extLst>
        <ext uri="{3e2802c4-a4d2-4d8b-9148-e3be6c30e623}">
          <xlrd:rvb i="360"/>
        </ext>
      </extLst>
    </bk>
    <bk>
      <extLst>
        <ext uri="{3e2802c4-a4d2-4d8b-9148-e3be6c30e623}">
          <xlrd:rvb i="361"/>
        </ext>
      </extLst>
    </bk>
    <bk>
      <extLst>
        <ext uri="{3e2802c4-a4d2-4d8b-9148-e3be6c30e623}">
          <xlrd:rvb i="362"/>
        </ext>
      </extLst>
    </bk>
    <bk>
      <extLst>
        <ext uri="{3e2802c4-a4d2-4d8b-9148-e3be6c30e623}">
          <xlrd:rvb i="363"/>
        </ext>
      </extLst>
    </bk>
    <bk>
      <extLst>
        <ext uri="{3e2802c4-a4d2-4d8b-9148-e3be6c30e623}">
          <xlrd:rvb i="364"/>
        </ext>
      </extLst>
    </bk>
    <bk>
      <extLst>
        <ext uri="{3e2802c4-a4d2-4d8b-9148-e3be6c30e623}">
          <xlrd:rvb i="365"/>
        </ext>
      </extLst>
    </bk>
    <bk>
      <extLst>
        <ext uri="{3e2802c4-a4d2-4d8b-9148-e3be6c30e623}">
          <xlrd:rvb i="366"/>
        </ext>
      </extLst>
    </bk>
    <bk>
      <extLst>
        <ext uri="{3e2802c4-a4d2-4d8b-9148-e3be6c30e623}">
          <xlrd:rvb i="367"/>
        </ext>
      </extLst>
    </bk>
    <bk>
      <extLst>
        <ext uri="{3e2802c4-a4d2-4d8b-9148-e3be6c30e623}">
          <xlrd:rvb i="368"/>
        </ext>
      </extLst>
    </bk>
    <bk>
      <extLst>
        <ext uri="{3e2802c4-a4d2-4d8b-9148-e3be6c30e623}">
          <xlrd:rvb i="369"/>
        </ext>
      </extLst>
    </bk>
    <bk>
      <extLst>
        <ext uri="{3e2802c4-a4d2-4d8b-9148-e3be6c30e623}">
          <xlrd:rvb i="370"/>
        </ext>
      </extLst>
    </bk>
    <bk>
      <extLst>
        <ext uri="{3e2802c4-a4d2-4d8b-9148-e3be6c30e623}">
          <xlrd:rvb i="371"/>
        </ext>
      </extLst>
    </bk>
    <bk>
      <extLst>
        <ext uri="{3e2802c4-a4d2-4d8b-9148-e3be6c30e623}">
          <xlrd:rvb i="372"/>
        </ext>
      </extLst>
    </bk>
    <bk>
      <extLst>
        <ext uri="{3e2802c4-a4d2-4d8b-9148-e3be6c30e623}">
          <xlrd:rvb i="373"/>
        </ext>
      </extLst>
    </bk>
    <bk>
      <extLst>
        <ext uri="{3e2802c4-a4d2-4d8b-9148-e3be6c30e623}">
          <xlrd:rvb i="374"/>
        </ext>
      </extLst>
    </bk>
    <bk>
      <extLst>
        <ext uri="{3e2802c4-a4d2-4d8b-9148-e3be6c30e623}">
          <xlrd:rvb i="375"/>
        </ext>
      </extLst>
    </bk>
    <bk>
      <extLst>
        <ext uri="{3e2802c4-a4d2-4d8b-9148-e3be6c30e623}">
          <xlrd:rvb i="376"/>
        </ext>
      </extLst>
    </bk>
    <bk>
      <extLst>
        <ext uri="{3e2802c4-a4d2-4d8b-9148-e3be6c30e623}">
          <xlrd:rvb i="377"/>
        </ext>
      </extLst>
    </bk>
    <bk>
      <extLst>
        <ext uri="{3e2802c4-a4d2-4d8b-9148-e3be6c30e623}">
          <xlrd:rvb i="378"/>
        </ext>
      </extLst>
    </bk>
    <bk>
      <extLst>
        <ext uri="{3e2802c4-a4d2-4d8b-9148-e3be6c30e623}">
          <xlrd:rvb i="379"/>
        </ext>
      </extLst>
    </bk>
    <bk>
      <extLst>
        <ext uri="{3e2802c4-a4d2-4d8b-9148-e3be6c30e623}">
          <xlrd:rvb i="380"/>
        </ext>
      </extLst>
    </bk>
    <bk>
      <extLst>
        <ext uri="{3e2802c4-a4d2-4d8b-9148-e3be6c30e623}">
          <xlrd:rvb i="381"/>
        </ext>
      </extLst>
    </bk>
    <bk>
      <extLst>
        <ext uri="{3e2802c4-a4d2-4d8b-9148-e3be6c30e623}">
          <xlrd:rvb i="382"/>
        </ext>
      </extLst>
    </bk>
    <bk>
      <extLst>
        <ext uri="{3e2802c4-a4d2-4d8b-9148-e3be6c30e623}">
          <xlrd:rvb i="383"/>
        </ext>
      </extLst>
    </bk>
    <bk>
      <extLst>
        <ext uri="{3e2802c4-a4d2-4d8b-9148-e3be6c30e623}">
          <xlrd:rvb i="384"/>
        </ext>
      </extLst>
    </bk>
    <bk>
      <extLst>
        <ext uri="{3e2802c4-a4d2-4d8b-9148-e3be6c30e623}">
          <xlrd:rvb i="385"/>
        </ext>
      </extLst>
    </bk>
    <bk>
      <extLst>
        <ext uri="{3e2802c4-a4d2-4d8b-9148-e3be6c30e623}">
          <xlrd:rvb i="386"/>
        </ext>
      </extLst>
    </bk>
    <bk>
      <extLst>
        <ext uri="{3e2802c4-a4d2-4d8b-9148-e3be6c30e623}">
          <xlrd:rvb i="387"/>
        </ext>
      </extLst>
    </bk>
    <bk>
      <extLst>
        <ext uri="{3e2802c4-a4d2-4d8b-9148-e3be6c30e623}">
          <xlrd:rvb i="388"/>
        </ext>
      </extLst>
    </bk>
    <bk>
      <extLst>
        <ext uri="{3e2802c4-a4d2-4d8b-9148-e3be6c30e623}">
          <xlrd:rvb i="389"/>
        </ext>
      </extLst>
    </bk>
    <bk>
      <extLst>
        <ext uri="{3e2802c4-a4d2-4d8b-9148-e3be6c30e623}">
          <xlrd:rvb i="390"/>
        </ext>
      </extLst>
    </bk>
    <bk>
      <extLst>
        <ext uri="{3e2802c4-a4d2-4d8b-9148-e3be6c30e623}">
          <xlrd:rvb i="391"/>
        </ext>
      </extLst>
    </bk>
    <bk>
      <extLst>
        <ext uri="{3e2802c4-a4d2-4d8b-9148-e3be6c30e623}">
          <xlrd:rvb i="392"/>
        </ext>
      </extLst>
    </bk>
    <bk>
      <extLst>
        <ext uri="{3e2802c4-a4d2-4d8b-9148-e3be6c30e623}">
          <xlrd:rvb i="393"/>
        </ext>
      </extLst>
    </bk>
    <bk>
      <extLst>
        <ext uri="{3e2802c4-a4d2-4d8b-9148-e3be6c30e623}">
          <xlrd:rvb i="394"/>
        </ext>
      </extLst>
    </bk>
    <bk>
      <extLst>
        <ext uri="{3e2802c4-a4d2-4d8b-9148-e3be6c30e623}">
          <xlrd:rvb i="395"/>
        </ext>
      </extLst>
    </bk>
    <bk>
      <extLst>
        <ext uri="{3e2802c4-a4d2-4d8b-9148-e3be6c30e623}">
          <xlrd:rvb i="396"/>
        </ext>
      </extLst>
    </bk>
    <bk>
      <extLst>
        <ext uri="{3e2802c4-a4d2-4d8b-9148-e3be6c30e623}">
          <xlrd:rvb i="397"/>
        </ext>
      </extLst>
    </bk>
    <bk>
      <extLst>
        <ext uri="{3e2802c4-a4d2-4d8b-9148-e3be6c30e623}">
          <xlrd:rvb i="398"/>
        </ext>
      </extLst>
    </bk>
    <bk>
      <extLst>
        <ext uri="{3e2802c4-a4d2-4d8b-9148-e3be6c30e623}">
          <xlrd:rvb i="399"/>
        </ext>
      </extLst>
    </bk>
    <bk>
      <extLst>
        <ext uri="{3e2802c4-a4d2-4d8b-9148-e3be6c30e623}">
          <xlrd:rvb i="400"/>
        </ext>
      </extLst>
    </bk>
    <bk>
      <extLst>
        <ext uri="{3e2802c4-a4d2-4d8b-9148-e3be6c30e623}">
          <xlrd:rvb i="401"/>
        </ext>
      </extLst>
    </bk>
    <bk>
      <extLst>
        <ext uri="{3e2802c4-a4d2-4d8b-9148-e3be6c30e623}">
          <xlrd:rvb i="402"/>
        </ext>
      </extLst>
    </bk>
    <bk>
      <extLst>
        <ext uri="{3e2802c4-a4d2-4d8b-9148-e3be6c30e623}">
          <xlrd:rvb i="403"/>
        </ext>
      </extLst>
    </bk>
    <bk>
      <extLst>
        <ext uri="{3e2802c4-a4d2-4d8b-9148-e3be6c30e623}">
          <xlrd:rvb i="404"/>
        </ext>
      </extLst>
    </bk>
    <bk>
      <extLst>
        <ext uri="{3e2802c4-a4d2-4d8b-9148-e3be6c30e623}">
          <xlrd:rvb i="405"/>
        </ext>
      </extLst>
    </bk>
    <bk>
      <extLst>
        <ext uri="{3e2802c4-a4d2-4d8b-9148-e3be6c30e623}">
          <xlrd:rvb i="406"/>
        </ext>
      </extLst>
    </bk>
    <bk>
      <extLst>
        <ext uri="{3e2802c4-a4d2-4d8b-9148-e3be6c30e623}">
          <xlrd:rvb i="407"/>
        </ext>
      </extLst>
    </bk>
    <bk>
      <extLst>
        <ext uri="{3e2802c4-a4d2-4d8b-9148-e3be6c30e623}">
          <xlrd:rvb i="408"/>
        </ext>
      </extLst>
    </bk>
    <bk>
      <extLst>
        <ext uri="{3e2802c4-a4d2-4d8b-9148-e3be6c30e623}">
          <xlrd:rvb i="409"/>
        </ext>
      </extLst>
    </bk>
    <bk>
      <extLst>
        <ext uri="{3e2802c4-a4d2-4d8b-9148-e3be6c30e623}">
          <xlrd:rvb i="410"/>
        </ext>
      </extLst>
    </bk>
    <bk>
      <extLst>
        <ext uri="{3e2802c4-a4d2-4d8b-9148-e3be6c30e623}">
          <xlrd:rvb i="411"/>
        </ext>
      </extLst>
    </bk>
    <bk>
      <extLst>
        <ext uri="{3e2802c4-a4d2-4d8b-9148-e3be6c30e623}">
          <xlrd:rvb i="412"/>
        </ext>
      </extLst>
    </bk>
    <bk>
      <extLst>
        <ext uri="{3e2802c4-a4d2-4d8b-9148-e3be6c30e623}">
          <xlrd:rvb i="413"/>
        </ext>
      </extLst>
    </bk>
    <bk>
      <extLst>
        <ext uri="{3e2802c4-a4d2-4d8b-9148-e3be6c30e623}">
          <xlrd:rvb i="414"/>
        </ext>
      </extLst>
    </bk>
    <bk>
      <extLst>
        <ext uri="{3e2802c4-a4d2-4d8b-9148-e3be6c30e623}">
          <xlrd:rvb i="415"/>
        </ext>
      </extLst>
    </bk>
    <bk>
      <extLst>
        <ext uri="{3e2802c4-a4d2-4d8b-9148-e3be6c30e623}">
          <xlrd:rvb i="416"/>
        </ext>
      </extLst>
    </bk>
    <bk>
      <extLst>
        <ext uri="{3e2802c4-a4d2-4d8b-9148-e3be6c30e623}">
          <xlrd:rvb i="417"/>
        </ext>
      </extLst>
    </bk>
    <bk>
      <extLst>
        <ext uri="{3e2802c4-a4d2-4d8b-9148-e3be6c30e623}">
          <xlrd:rvb i="418"/>
        </ext>
      </extLst>
    </bk>
    <bk>
      <extLst>
        <ext uri="{3e2802c4-a4d2-4d8b-9148-e3be6c30e623}">
          <xlrd:rvb i="419"/>
        </ext>
      </extLst>
    </bk>
    <bk>
      <extLst>
        <ext uri="{3e2802c4-a4d2-4d8b-9148-e3be6c30e623}">
          <xlrd:rvb i="420"/>
        </ext>
      </extLst>
    </bk>
    <bk>
      <extLst>
        <ext uri="{3e2802c4-a4d2-4d8b-9148-e3be6c30e623}">
          <xlrd:rvb i="421"/>
        </ext>
      </extLst>
    </bk>
    <bk>
      <extLst>
        <ext uri="{3e2802c4-a4d2-4d8b-9148-e3be6c30e623}">
          <xlrd:rvb i="422"/>
        </ext>
      </extLst>
    </bk>
    <bk>
      <extLst>
        <ext uri="{3e2802c4-a4d2-4d8b-9148-e3be6c30e623}">
          <xlrd:rvb i="423"/>
        </ext>
      </extLst>
    </bk>
    <bk>
      <extLst>
        <ext uri="{3e2802c4-a4d2-4d8b-9148-e3be6c30e623}">
          <xlrd:rvb i="424"/>
        </ext>
      </extLst>
    </bk>
    <bk>
      <extLst>
        <ext uri="{3e2802c4-a4d2-4d8b-9148-e3be6c30e623}">
          <xlrd:rvb i="425"/>
        </ext>
      </extLst>
    </bk>
    <bk>
      <extLst>
        <ext uri="{3e2802c4-a4d2-4d8b-9148-e3be6c30e623}">
          <xlrd:rvb i="426"/>
        </ext>
      </extLst>
    </bk>
    <bk>
      <extLst>
        <ext uri="{3e2802c4-a4d2-4d8b-9148-e3be6c30e623}">
          <xlrd:rvb i="427"/>
        </ext>
      </extLst>
    </bk>
    <bk>
      <extLst>
        <ext uri="{3e2802c4-a4d2-4d8b-9148-e3be6c30e623}">
          <xlrd:rvb i="428"/>
        </ext>
      </extLst>
    </bk>
    <bk>
      <extLst>
        <ext uri="{3e2802c4-a4d2-4d8b-9148-e3be6c30e623}">
          <xlrd:rvb i="429"/>
        </ext>
      </extLst>
    </bk>
    <bk>
      <extLst>
        <ext uri="{3e2802c4-a4d2-4d8b-9148-e3be6c30e623}">
          <xlrd:rvb i="430"/>
        </ext>
      </extLst>
    </bk>
    <bk>
      <extLst>
        <ext uri="{3e2802c4-a4d2-4d8b-9148-e3be6c30e623}">
          <xlrd:rvb i="431"/>
        </ext>
      </extLst>
    </bk>
    <bk>
      <extLst>
        <ext uri="{3e2802c4-a4d2-4d8b-9148-e3be6c30e623}">
          <xlrd:rvb i="432"/>
        </ext>
      </extLst>
    </bk>
    <bk>
      <extLst>
        <ext uri="{3e2802c4-a4d2-4d8b-9148-e3be6c30e623}">
          <xlrd:rvb i="433"/>
        </ext>
      </extLst>
    </bk>
    <bk>
      <extLst>
        <ext uri="{3e2802c4-a4d2-4d8b-9148-e3be6c30e623}">
          <xlrd:rvb i="434"/>
        </ext>
      </extLst>
    </bk>
    <bk>
      <extLst>
        <ext uri="{3e2802c4-a4d2-4d8b-9148-e3be6c30e623}">
          <xlrd:rvb i="435"/>
        </ext>
      </extLst>
    </bk>
    <bk>
      <extLst>
        <ext uri="{3e2802c4-a4d2-4d8b-9148-e3be6c30e623}">
          <xlrd:rvb i="436"/>
        </ext>
      </extLst>
    </bk>
    <bk>
      <extLst>
        <ext uri="{3e2802c4-a4d2-4d8b-9148-e3be6c30e623}">
          <xlrd:rvb i="437"/>
        </ext>
      </extLst>
    </bk>
    <bk>
      <extLst>
        <ext uri="{3e2802c4-a4d2-4d8b-9148-e3be6c30e623}">
          <xlrd:rvb i="438"/>
        </ext>
      </extLst>
    </bk>
    <bk>
      <extLst>
        <ext uri="{3e2802c4-a4d2-4d8b-9148-e3be6c30e623}">
          <xlrd:rvb i="439"/>
        </ext>
      </extLst>
    </bk>
    <bk>
      <extLst>
        <ext uri="{3e2802c4-a4d2-4d8b-9148-e3be6c30e623}">
          <xlrd:rvb i="440"/>
        </ext>
      </extLst>
    </bk>
    <bk>
      <extLst>
        <ext uri="{3e2802c4-a4d2-4d8b-9148-e3be6c30e623}">
          <xlrd:rvb i="441"/>
        </ext>
      </extLst>
    </bk>
    <bk>
      <extLst>
        <ext uri="{3e2802c4-a4d2-4d8b-9148-e3be6c30e623}">
          <xlrd:rvb i="442"/>
        </ext>
      </extLst>
    </bk>
    <bk>
      <extLst>
        <ext uri="{3e2802c4-a4d2-4d8b-9148-e3be6c30e623}">
          <xlrd:rvb i="443"/>
        </ext>
      </extLst>
    </bk>
    <bk>
      <extLst>
        <ext uri="{3e2802c4-a4d2-4d8b-9148-e3be6c30e623}">
          <xlrd:rvb i="444"/>
        </ext>
      </extLst>
    </bk>
    <bk>
      <extLst>
        <ext uri="{3e2802c4-a4d2-4d8b-9148-e3be6c30e623}">
          <xlrd:rvb i="445"/>
        </ext>
      </extLst>
    </bk>
    <bk>
      <extLst>
        <ext uri="{3e2802c4-a4d2-4d8b-9148-e3be6c30e623}">
          <xlrd:rvb i="446"/>
        </ext>
      </extLst>
    </bk>
    <bk>
      <extLst>
        <ext uri="{3e2802c4-a4d2-4d8b-9148-e3be6c30e623}">
          <xlrd:rvb i="447"/>
        </ext>
      </extLst>
    </bk>
    <bk>
      <extLst>
        <ext uri="{3e2802c4-a4d2-4d8b-9148-e3be6c30e623}">
          <xlrd:rvb i="448"/>
        </ext>
      </extLst>
    </bk>
    <bk>
      <extLst>
        <ext uri="{3e2802c4-a4d2-4d8b-9148-e3be6c30e623}">
          <xlrd:rvb i="449"/>
        </ext>
      </extLst>
    </bk>
    <bk>
      <extLst>
        <ext uri="{3e2802c4-a4d2-4d8b-9148-e3be6c30e623}">
          <xlrd:rvb i="450"/>
        </ext>
      </extLst>
    </bk>
    <bk>
      <extLst>
        <ext uri="{3e2802c4-a4d2-4d8b-9148-e3be6c30e623}">
          <xlrd:rvb i="451"/>
        </ext>
      </extLst>
    </bk>
    <bk>
      <extLst>
        <ext uri="{3e2802c4-a4d2-4d8b-9148-e3be6c30e623}">
          <xlrd:rvb i="452"/>
        </ext>
      </extLst>
    </bk>
    <bk>
      <extLst>
        <ext uri="{3e2802c4-a4d2-4d8b-9148-e3be6c30e623}">
          <xlrd:rvb i="453"/>
        </ext>
      </extLst>
    </bk>
    <bk>
      <extLst>
        <ext uri="{3e2802c4-a4d2-4d8b-9148-e3be6c30e623}">
          <xlrd:rvb i="454"/>
        </ext>
      </extLst>
    </bk>
    <bk>
      <extLst>
        <ext uri="{3e2802c4-a4d2-4d8b-9148-e3be6c30e623}">
          <xlrd:rvb i="455"/>
        </ext>
      </extLst>
    </bk>
    <bk>
      <extLst>
        <ext uri="{3e2802c4-a4d2-4d8b-9148-e3be6c30e623}">
          <xlrd:rvb i="456"/>
        </ext>
      </extLst>
    </bk>
    <bk>
      <extLst>
        <ext uri="{3e2802c4-a4d2-4d8b-9148-e3be6c30e623}">
          <xlrd:rvb i="457"/>
        </ext>
      </extLst>
    </bk>
    <bk>
      <extLst>
        <ext uri="{3e2802c4-a4d2-4d8b-9148-e3be6c30e623}">
          <xlrd:rvb i="458"/>
        </ext>
      </extLst>
    </bk>
    <bk>
      <extLst>
        <ext uri="{3e2802c4-a4d2-4d8b-9148-e3be6c30e623}">
          <xlrd:rvb i="459"/>
        </ext>
      </extLst>
    </bk>
    <bk>
      <extLst>
        <ext uri="{3e2802c4-a4d2-4d8b-9148-e3be6c30e623}">
          <xlrd:rvb i="460"/>
        </ext>
      </extLst>
    </bk>
    <bk>
      <extLst>
        <ext uri="{3e2802c4-a4d2-4d8b-9148-e3be6c30e623}">
          <xlrd:rvb i="461"/>
        </ext>
      </extLst>
    </bk>
    <bk>
      <extLst>
        <ext uri="{3e2802c4-a4d2-4d8b-9148-e3be6c30e623}">
          <xlrd:rvb i="462"/>
        </ext>
      </extLst>
    </bk>
    <bk>
      <extLst>
        <ext uri="{3e2802c4-a4d2-4d8b-9148-e3be6c30e623}">
          <xlrd:rvb i="463"/>
        </ext>
      </extLst>
    </bk>
    <bk>
      <extLst>
        <ext uri="{3e2802c4-a4d2-4d8b-9148-e3be6c30e623}">
          <xlrd:rvb i="464"/>
        </ext>
      </extLst>
    </bk>
    <bk>
      <extLst>
        <ext uri="{3e2802c4-a4d2-4d8b-9148-e3be6c30e623}">
          <xlrd:rvb i="465"/>
        </ext>
      </extLst>
    </bk>
    <bk>
      <extLst>
        <ext uri="{3e2802c4-a4d2-4d8b-9148-e3be6c30e623}">
          <xlrd:rvb i="466"/>
        </ext>
      </extLst>
    </bk>
    <bk>
      <extLst>
        <ext uri="{3e2802c4-a4d2-4d8b-9148-e3be6c30e623}">
          <xlrd:rvb i="467"/>
        </ext>
      </extLst>
    </bk>
    <bk>
      <extLst>
        <ext uri="{3e2802c4-a4d2-4d8b-9148-e3be6c30e623}">
          <xlrd:rvb i="468"/>
        </ext>
      </extLst>
    </bk>
    <bk>
      <extLst>
        <ext uri="{3e2802c4-a4d2-4d8b-9148-e3be6c30e623}">
          <xlrd:rvb i="469"/>
        </ext>
      </extLst>
    </bk>
    <bk>
      <extLst>
        <ext uri="{3e2802c4-a4d2-4d8b-9148-e3be6c30e623}">
          <xlrd:rvb i="470"/>
        </ext>
      </extLst>
    </bk>
    <bk>
      <extLst>
        <ext uri="{3e2802c4-a4d2-4d8b-9148-e3be6c30e623}">
          <xlrd:rvb i="471"/>
        </ext>
      </extLst>
    </bk>
    <bk>
      <extLst>
        <ext uri="{3e2802c4-a4d2-4d8b-9148-e3be6c30e623}">
          <xlrd:rvb i="472"/>
        </ext>
      </extLst>
    </bk>
    <bk>
      <extLst>
        <ext uri="{3e2802c4-a4d2-4d8b-9148-e3be6c30e623}">
          <xlrd:rvb i="473"/>
        </ext>
      </extLst>
    </bk>
    <bk>
      <extLst>
        <ext uri="{3e2802c4-a4d2-4d8b-9148-e3be6c30e623}">
          <xlrd:rvb i="474"/>
        </ext>
      </extLst>
    </bk>
    <bk>
      <extLst>
        <ext uri="{3e2802c4-a4d2-4d8b-9148-e3be6c30e623}">
          <xlrd:rvb i="475"/>
        </ext>
      </extLst>
    </bk>
    <bk>
      <extLst>
        <ext uri="{3e2802c4-a4d2-4d8b-9148-e3be6c30e623}">
          <xlrd:rvb i="476"/>
        </ext>
      </extLst>
    </bk>
    <bk>
      <extLst>
        <ext uri="{3e2802c4-a4d2-4d8b-9148-e3be6c30e623}">
          <xlrd:rvb i="477"/>
        </ext>
      </extLst>
    </bk>
    <bk>
      <extLst>
        <ext uri="{3e2802c4-a4d2-4d8b-9148-e3be6c30e623}">
          <xlrd:rvb i="478"/>
        </ext>
      </extLst>
    </bk>
    <bk>
      <extLst>
        <ext uri="{3e2802c4-a4d2-4d8b-9148-e3be6c30e623}">
          <xlrd:rvb i="479"/>
        </ext>
      </extLst>
    </bk>
    <bk>
      <extLst>
        <ext uri="{3e2802c4-a4d2-4d8b-9148-e3be6c30e623}">
          <xlrd:rvb i="480"/>
        </ext>
      </extLst>
    </bk>
    <bk>
      <extLst>
        <ext uri="{3e2802c4-a4d2-4d8b-9148-e3be6c30e623}">
          <xlrd:rvb i="481"/>
        </ext>
      </extLst>
    </bk>
    <bk>
      <extLst>
        <ext uri="{3e2802c4-a4d2-4d8b-9148-e3be6c30e623}">
          <xlrd:rvb i="482"/>
        </ext>
      </extLst>
    </bk>
    <bk>
      <extLst>
        <ext uri="{3e2802c4-a4d2-4d8b-9148-e3be6c30e623}">
          <xlrd:rvb i="483"/>
        </ext>
      </extLst>
    </bk>
    <bk>
      <extLst>
        <ext uri="{3e2802c4-a4d2-4d8b-9148-e3be6c30e623}">
          <xlrd:rvb i="484"/>
        </ext>
      </extLst>
    </bk>
    <bk>
      <extLst>
        <ext uri="{3e2802c4-a4d2-4d8b-9148-e3be6c30e623}">
          <xlrd:rvb i="485"/>
        </ext>
      </extLst>
    </bk>
    <bk>
      <extLst>
        <ext uri="{3e2802c4-a4d2-4d8b-9148-e3be6c30e623}">
          <xlrd:rvb i="486"/>
        </ext>
      </extLst>
    </bk>
    <bk>
      <extLst>
        <ext uri="{3e2802c4-a4d2-4d8b-9148-e3be6c30e623}">
          <xlrd:rvb i="487"/>
        </ext>
      </extLst>
    </bk>
    <bk>
      <extLst>
        <ext uri="{3e2802c4-a4d2-4d8b-9148-e3be6c30e623}">
          <xlrd:rvb i="488"/>
        </ext>
      </extLst>
    </bk>
    <bk>
      <extLst>
        <ext uri="{3e2802c4-a4d2-4d8b-9148-e3be6c30e623}">
          <xlrd:rvb i="489"/>
        </ext>
      </extLst>
    </bk>
    <bk>
      <extLst>
        <ext uri="{3e2802c4-a4d2-4d8b-9148-e3be6c30e623}">
          <xlrd:rvb i="490"/>
        </ext>
      </extLst>
    </bk>
    <bk>
      <extLst>
        <ext uri="{3e2802c4-a4d2-4d8b-9148-e3be6c30e623}">
          <xlrd:rvb i="491"/>
        </ext>
      </extLst>
    </bk>
    <bk>
      <extLst>
        <ext uri="{3e2802c4-a4d2-4d8b-9148-e3be6c30e623}">
          <xlrd:rvb i="492"/>
        </ext>
      </extLst>
    </bk>
    <bk>
      <extLst>
        <ext uri="{3e2802c4-a4d2-4d8b-9148-e3be6c30e623}">
          <xlrd:rvb i="493"/>
        </ext>
      </extLst>
    </bk>
    <bk>
      <extLst>
        <ext uri="{3e2802c4-a4d2-4d8b-9148-e3be6c30e623}">
          <xlrd:rvb i="494"/>
        </ext>
      </extLst>
    </bk>
    <bk>
      <extLst>
        <ext uri="{3e2802c4-a4d2-4d8b-9148-e3be6c30e623}">
          <xlrd:rvb i="495"/>
        </ext>
      </extLst>
    </bk>
    <bk>
      <extLst>
        <ext uri="{3e2802c4-a4d2-4d8b-9148-e3be6c30e623}">
          <xlrd:rvb i="496"/>
        </ext>
      </extLst>
    </bk>
    <bk>
      <extLst>
        <ext uri="{3e2802c4-a4d2-4d8b-9148-e3be6c30e623}">
          <xlrd:rvb i="497"/>
        </ext>
      </extLst>
    </bk>
    <bk>
      <extLst>
        <ext uri="{3e2802c4-a4d2-4d8b-9148-e3be6c30e623}">
          <xlrd:rvb i="498"/>
        </ext>
      </extLst>
    </bk>
    <bk>
      <extLst>
        <ext uri="{3e2802c4-a4d2-4d8b-9148-e3be6c30e623}">
          <xlrd:rvb i="499"/>
        </ext>
      </extLst>
    </bk>
    <bk>
      <extLst>
        <ext uri="{3e2802c4-a4d2-4d8b-9148-e3be6c30e623}">
          <xlrd:rvb i="500"/>
        </ext>
      </extLst>
    </bk>
    <bk>
      <extLst>
        <ext uri="{3e2802c4-a4d2-4d8b-9148-e3be6c30e623}">
          <xlrd:rvb i="501"/>
        </ext>
      </extLst>
    </bk>
    <bk>
      <extLst>
        <ext uri="{3e2802c4-a4d2-4d8b-9148-e3be6c30e623}">
          <xlrd:rvb i="502"/>
        </ext>
      </extLst>
    </bk>
    <bk>
      <extLst>
        <ext uri="{3e2802c4-a4d2-4d8b-9148-e3be6c30e623}">
          <xlrd:rvb i="503"/>
        </ext>
      </extLst>
    </bk>
    <bk>
      <extLst>
        <ext uri="{3e2802c4-a4d2-4d8b-9148-e3be6c30e623}">
          <xlrd:rvb i="504"/>
        </ext>
      </extLst>
    </bk>
    <bk>
      <extLst>
        <ext uri="{3e2802c4-a4d2-4d8b-9148-e3be6c30e623}">
          <xlrd:rvb i="505"/>
        </ext>
      </extLst>
    </bk>
    <bk>
      <extLst>
        <ext uri="{3e2802c4-a4d2-4d8b-9148-e3be6c30e623}">
          <xlrd:rvb i="506"/>
        </ext>
      </extLst>
    </bk>
    <bk>
      <extLst>
        <ext uri="{3e2802c4-a4d2-4d8b-9148-e3be6c30e623}">
          <xlrd:rvb i="507"/>
        </ext>
      </extLst>
    </bk>
    <bk>
      <extLst>
        <ext uri="{3e2802c4-a4d2-4d8b-9148-e3be6c30e623}">
          <xlrd:rvb i="508"/>
        </ext>
      </extLst>
    </bk>
    <bk>
      <extLst>
        <ext uri="{3e2802c4-a4d2-4d8b-9148-e3be6c30e623}">
          <xlrd:rvb i="509"/>
        </ext>
      </extLst>
    </bk>
    <bk>
      <extLst>
        <ext uri="{3e2802c4-a4d2-4d8b-9148-e3be6c30e623}">
          <xlrd:rvb i="510"/>
        </ext>
      </extLst>
    </bk>
    <bk>
      <extLst>
        <ext uri="{3e2802c4-a4d2-4d8b-9148-e3be6c30e623}">
          <xlrd:rvb i="511"/>
        </ext>
      </extLst>
    </bk>
    <bk>
      <extLst>
        <ext uri="{3e2802c4-a4d2-4d8b-9148-e3be6c30e623}">
          <xlrd:rvb i="512"/>
        </ext>
      </extLst>
    </bk>
    <bk>
      <extLst>
        <ext uri="{3e2802c4-a4d2-4d8b-9148-e3be6c30e623}">
          <xlrd:rvb i="513"/>
        </ext>
      </extLst>
    </bk>
    <bk>
      <extLst>
        <ext uri="{3e2802c4-a4d2-4d8b-9148-e3be6c30e623}">
          <xlrd:rvb i="514"/>
        </ext>
      </extLst>
    </bk>
    <bk>
      <extLst>
        <ext uri="{3e2802c4-a4d2-4d8b-9148-e3be6c30e623}">
          <xlrd:rvb i="515"/>
        </ext>
      </extLst>
    </bk>
    <bk>
      <extLst>
        <ext uri="{3e2802c4-a4d2-4d8b-9148-e3be6c30e623}">
          <xlrd:rvb i="516"/>
        </ext>
      </extLst>
    </bk>
    <bk>
      <extLst>
        <ext uri="{3e2802c4-a4d2-4d8b-9148-e3be6c30e623}">
          <xlrd:rvb i="517"/>
        </ext>
      </extLst>
    </bk>
    <bk>
      <extLst>
        <ext uri="{3e2802c4-a4d2-4d8b-9148-e3be6c30e623}">
          <xlrd:rvb i="518"/>
        </ext>
      </extLst>
    </bk>
    <bk>
      <extLst>
        <ext uri="{3e2802c4-a4d2-4d8b-9148-e3be6c30e623}">
          <xlrd:rvb i="519"/>
        </ext>
      </extLst>
    </bk>
    <bk>
      <extLst>
        <ext uri="{3e2802c4-a4d2-4d8b-9148-e3be6c30e623}">
          <xlrd:rvb i="520"/>
        </ext>
      </extLst>
    </bk>
    <bk>
      <extLst>
        <ext uri="{3e2802c4-a4d2-4d8b-9148-e3be6c30e623}">
          <xlrd:rvb i="521"/>
        </ext>
      </extLst>
    </bk>
    <bk>
      <extLst>
        <ext uri="{3e2802c4-a4d2-4d8b-9148-e3be6c30e623}">
          <xlrd:rvb i="522"/>
        </ext>
      </extLst>
    </bk>
    <bk>
      <extLst>
        <ext uri="{3e2802c4-a4d2-4d8b-9148-e3be6c30e623}">
          <xlrd:rvb i="523"/>
        </ext>
      </extLst>
    </bk>
    <bk>
      <extLst>
        <ext uri="{3e2802c4-a4d2-4d8b-9148-e3be6c30e623}">
          <xlrd:rvb i="524"/>
        </ext>
      </extLst>
    </bk>
    <bk>
      <extLst>
        <ext uri="{3e2802c4-a4d2-4d8b-9148-e3be6c30e623}">
          <xlrd:rvb i="525"/>
        </ext>
      </extLst>
    </bk>
    <bk>
      <extLst>
        <ext uri="{3e2802c4-a4d2-4d8b-9148-e3be6c30e623}">
          <xlrd:rvb i="526"/>
        </ext>
      </extLst>
    </bk>
    <bk>
      <extLst>
        <ext uri="{3e2802c4-a4d2-4d8b-9148-e3be6c30e623}">
          <xlrd:rvb i="527"/>
        </ext>
      </extLst>
    </bk>
    <bk>
      <extLst>
        <ext uri="{3e2802c4-a4d2-4d8b-9148-e3be6c30e623}">
          <xlrd:rvb i="528"/>
        </ext>
      </extLst>
    </bk>
    <bk>
      <extLst>
        <ext uri="{3e2802c4-a4d2-4d8b-9148-e3be6c30e623}">
          <xlrd:rvb i="529"/>
        </ext>
      </extLst>
    </bk>
    <bk>
      <extLst>
        <ext uri="{3e2802c4-a4d2-4d8b-9148-e3be6c30e623}">
          <xlrd:rvb i="530"/>
        </ext>
      </extLst>
    </bk>
    <bk>
      <extLst>
        <ext uri="{3e2802c4-a4d2-4d8b-9148-e3be6c30e623}">
          <xlrd:rvb i="531"/>
        </ext>
      </extLst>
    </bk>
    <bk>
      <extLst>
        <ext uri="{3e2802c4-a4d2-4d8b-9148-e3be6c30e623}">
          <xlrd:rvb i="532"/>
        </ext>
      </extLst>
    </bk>
    <bk>
      <extLst>
        <ext uri="{3e2802c4-a4d2-4d8b-9148-e3be6c30e623}">
          <xlrd:rvb i="533"/>
        </ext>
      </extLst>
    </bk>
    <bk>
      <extLst>
        <ext uri="{3e2802c4-a4d2-4d8b-9148-e3be6c30e623}">
          <xlrd:rvb i="534"/>
        </ext>
      </extLst>
    </bk>
    <bk>
      <extLst>
        <ext uri="{3e2802c4-a4d2-4d8b-9148-e3be6c30e623}">
          <xlrd:rvb i="535"/>
        </ext>
      </extLst>
    </bk>
    <bk>
      <extLst>
        <ext uri="{3e2802c4-a4d2-4d8b-9148-e3be6c30e623}">
          <xlrd:rvb i="536"/>
        </ext>
      </extLst>
    </bk>
    <bk>
      <extLst>
        <ext uri="{3e2802c4-a4d2-4d8b-9148-e3be6c30e623}">
          <xlrd:rvb i="537"/>
        </ext>
      </extLst>
    </bk>
    <bk>
      <extLst>
        <ext uri="{3e2802c4-a4d2-4d8b-9148-e3be6c30e623}">
          <xlrd:rvb i="538"/>
        </ext>
      </extLst>
    </bk>
    <bk>
      <extLst>
        <ext uri="{3e2802c4-a4d2-4d8b-9148-e3be6c30e623}">
          <xlrd:rvb i="539"/>
        </ext>
      </extLst>
    </bk>
    <bk>
      <extLst>
        <ext uri="{3e2802c4-a4d2-4d8b-9148-e3be6c30e623}">
          <xlrd:rvb i="540"/>
        </ext>
      </extLst>
    </bk>
    <bk>
      <extLst>
        <ext uri="{3e2802c4-a4d2-4d8b-9148-e3be6c30e623}">
          <xlrd:rvb i="541"/>
        </ext>
      </extLst>
    </bk>
    <bk>
      <extLst>
        <ext uri="{3e2802c4-a4d2-4d8b-9148-e3be6c30e623}">
          <xlrd:rvb i="542"/>
        </ext>
      </extLst>
    </bk>
    <bk>
      <extLst>
        <ext uri="{3e2802c4-a4d2-4d8b-9148-e3be6c30e623}">
          <xlrd:rvb i="543"/>
        </ext>
      </extLst>
    </bk>
    <bk>
      <extLst>
        <ext uri="{3e2802c4-a4d2-4d8b-9148-e3be6c30e623}">
          <xlrd:rvb i="544"/>
        </ext>
      </extLst>
    </bk>
    <bk>
      <extLst>
        <ext uri="{3e2802c4-a4d2-4d8b-9148-e3be6c30e623}">
          <xlrd:rvb i="545"/>
        </ext>
      </extLst>
    </bk>
    <bk>
      <extLst>
        <ext uri="{3e2802c4-a4d2-4d8b-9148-e3be6c30e623}">
          <xlrd:rvb i="546"/>
        </ext>
      </extLst>
    </bk>
    <bk>
      <extLst>
        <ext uri="{3e2802c4-a4d2-4d8b-9148-e3be6c30e623}">
          <xlrd:rvb i="547"/>
        </ext>
      </extLst>
    </bk>
    <bk>
      <extLst>
        <ext uri="{3e2802c4-a4d2-4d8b-9148-e3be6c30e623}">
          <xlrd:rvb i="548"/>
        </ext>
      </extLst>
    </bk>
    <bk>
      <extLst>
        <ext uri="{3e2802c4-a4d2-4d8b-9148-e3be6c30e623}">
          <xlrd:rvb i="549"/>
        </ext>
      </extLst>
    </bk>
    <bk>
      <extLst>
        <ext uri="{3e2802c4-a4d2-4d8b-9148-e3be6c30e623}">
          <xlrd:rvb i="550"/>
        </ext>
      </extLst>
    </bk>
    <bk>
      <extLst>
        <ext uri="{3e2802c4-a4d2-4d8b-9148-e3be6c30e623}">
          <xlrd:rvb i="551"/>
        </ext>
      </extLst>
    </bk>
    <bk>
      <extLst>
        <ext uri="{3e2802c4-a4d2-4d8b-9148-e3be6c30e623}">
          <xlrd:rvb i="552"/>
        </ext>
      </extLst>
    </bk>
    <bk>
      <extLst>
        <ext uri="{3e2802c4-a4d2-4d8b-9148-e3be6c30e623}">
          <xlrd:rvb i="553"/>
        </ext>
      </extLst>
    </bk>
    <bk>
      <extLst>
        <ext uri="{3e2802c4-a4d2-4d8b-9148-e3be6c30e623}">
          <xlrd:rvb i="554"/>
        </ext>
      </extLst>
    </bk>
    <bk>
      <extLst>
        <ext uri="{3e2802c4-a4d2-4d8b-9148-e3be6c30e623}">
          <xlrd:rvb i="555"/>
        </ext>
      </extLst>
    </bk>
    <bk>
      <extLst>
        <ext uri="{3e2802c4-a4d2-4d8b-9148-e3be6c30e623}">
          <xlrd:rvb i="556"/>
        </ext>
      </extLst>
    </bk>
    <bk>
      <extLst>
        <ext uri="{3e2802c4-a4d2-4d8b-9148-e3be6c30e623}">
          <xlrd:rvb i="557"/>
        </ext>
      </extLst>
    </bk>
    <bk>
      <extLst>
        <ext uri="{3e2802c4-a4d2-4d8b-9148-e3be6c30e623}">
          <xlrd:rvb i="558"/>
        </ext>
      </extLst>
    </bk>
    <bk>
      <extLst>
        <ext uri="{3e2802c4-a4d2-4d8b-9148-e3be6c30e623}">
          <xlrd:rvb i="559"/>
        </ext>
      </extLst>
    </bk>
    <bk>
      <extLst>
        <ext uri="{3e2802c4-a4d2-4d8b-9148-e3be6c30e623}">
          <xlrd:rvb i="560"/>
        </ext>
      </extLst>
    </bk>
    <bk>
      <extLst>
        <ext uri="{3e2802c4-a4d2-4d8b-9148-e3be6c30e623}">
          <xlrd:rvb i="561"/>
        </ext>
      </extLst>
    </bk>
    <bk>
      <extLst>
        <ext uri="{3e2802c4-a4d2-4d8b-9148-e3be6c30e623}">
          <xlrd:rvb i="562"/>
        </ext>
      </extLst>
    </bk>
    <bk>
      <extLst>
        <ext uri="{3e2802c4-a4d2-4d8b-9148-e3be6c30e623}">
          <xlrd:rvb i="563"/>
        </ext>
      </extLst>
    </bk>
    <bk>
      <extLst>
        <ext uri="{3e2802c4-a4d2-4d8b-9148-e3be6c30e623}">
          <xlrd:rvb i="564"/>
        </ext>
      </extLst>
    </bk>
    <bk>
      <extLst>
        <ext uri="{3e2802c4-a4d2-4d8b-9148-e3be6c30e623}">
          <xlrd:rvb i="565"/>
        </ext>
      </extLst>
    </bk>
    <bk>
      <extLst>
        <ext uri="{3e2802c4-a4d2-4d8b-9148-e3be6c30e623}">
          <xlrd:rvb i="566"/>
        </ext>
      </extLst>
    </bk>
    <bk>
      <extLst>
        <ext uri="{3e2802c4-a4d2-4d8b-9148-e3be6c30e623}">
          <xlrd:rvb i="567"/>
        </ext>
      </extLst>
    </bk>
    <bk>
      <extLst>
        <ext uri="{3e2802c4-a4d2-4d8b-9148-e3be6c30e623}">
          <xlrd:rvb i="568"/>
        </ext>
      </extLst>
    </bk>
    <bk>
      <extLst>
        <ext uri="{3e2802c4-a4d2-4d8b-9148-e3be6c30e623}">
          <xlrd:rvb i="569"/>
        </ext>
      </extLst>
    </bk>
    <bk>
      <extLst>
        <ext uri="{3e2802c4-a4d2-4d8b-9148-e3be6c30e623}">
          <xlrd:rvb i="570"/>
        </ext>
      </extLst>
    </bk>
    <bk>
      <extLst>
        <ext uri="{3e2802c4-a4d2-4d8b-9148-e3be6c30e623}">
          <xlrd:rvb i="571"/>
        </ext>
      </extLst>
    </bk>
    <bk>
      <extLst>
        <ext uri="{3e2802c4-a4d2-4d8b-9148-e3be6c30e623}">
          <xlrd:rvb i="572"/>
        </ext>
      </extLst>
    </bk>
    <bk>
      <extLst>
        <ext uri="{3e2802c4-a4d2-4d8b-9148-e3be6c30e623}">
          <xlrd:rvb i="573"/>
        </ext>
      </extLst>
    </bk>
    <bk>
      <extLst>
        <ext uri="{3e2802c4-a4d2-4d8b-9148-e3be6c30e623}">
          <xlrd:rvb i="574"/>
        </ext>
      </extLst>
    </bk>
    <bk>
      <extLst>
        <ext uri="{3e2802c4-a4d2-4d8b-9148-e3be6c30e623}">
          <xlrd:rvb i="575"/>
        </ext>
      </extLst>
    </bk>
    <bk>
      <extLst>
        <ext uri="{3e2802c4-a4d2-4d8b-9148-e3be6c30e623}">
          <xlrd:rvb i="576"/>
        </ext>
      </extLst>
    </bk>
    <bk>
      <extLst>
        <ext uri="{3e2802c4-a4d2-4d8b-9148-e3be6c30e623}">
          <xlrd:rvb i="577"/>
        </ext>
      </extLst>
    </bk>
    <bk>
      <extLst>
        <ext uri="{3e2802c4-a4d2-4d8b-9148-e3be6c30e623}">
          <xlrd:rvb i="578"/>
        </ext>
      </extLst>
    </bk>
    <bk>
      <extLst>
        <ext uri="{3e2802c4-a4d2-4d8b-9148-e3be6c30e623}">
          <xlrd:rvb i="579"/>
        </ext>
      </extLst>
    </bk>
    <bk>
      <extLst>
        <ext uri="{3e2802c4-a4d2-4d8b-9148-e3be6c30e623}">
          <xlrd:rvb i="580"/>
        </ext>
      </extLst>
    </bk>
    <bk>
      <extLst>
        <ext uri="{3e2802c4-a4d2-4d8b-9148-e3be6c30e623}">
          <xlrd:rvb i="581"/>
        </ext>
      </extLst>
    </bk>
    <bk>
      <extLst>
        <ext uri="{3e2802c4-a4d2-4d8b-9148-e3be6c30e623}">
          <xlrd:rvb i="582"/>
        </ext>
      </extLst>
    </bk>
    <bk>
      <extLst>
        <ext uri="{3e2802c4-a4d2-4d8b-9148-e3be6c30e623}">
          <xlrd:rvb i="583"/>
        </ext>
      </extLst>
    </bk>
    <bk>
      <extLst>
        <ext uri="{3e2802c4-a4d2-4d8b-9148-e3be6c30e623}">
          <xlrd:rvb i="584"/>
        </ext>
      </extLst>
    </bk>
    <bk>
      <extLst>
        <ext uri="{3e2802c4-a4d2-4d8b-9148-e3be6c30e623}">
          <xlrd:rvb i="585"/>
        </ext>
      </extLst>
    </bk>
    <bk>
      <extLst>
        <ext uri="{3e2802c4-a4d2-4d8b-9148-e3be6c30e623}">
          <xlrd:rvb i="586"/>
        </ext>
      </extLst>
    </bk>
    <bk>
      <extLst>
        <ext uri="{3e2802c4-a4d2-4d8b-9148-e3be6c30e623}">
          <xlrd:rvb i="587"/>
        </ext>
      </extLst>
    </bk>
    <bk>
      <extLst>
        <ext uri="{3e2802c4-a4d2-4d8b-9148-e3be6c30e623}">
          <xlrd:rvb i="588"/>
        </ext>
      </extLst>
    </bk>
    <bk>
      <extLst>
        <ext uri="{3e2802c4-a4d2-4d8b-9148-e3be6c30e623}">
          <xlrd:rvb i="589"/>
        </ext>
      </extLst>
    </bk>
    <bk>
      <extLst>
        <ext uri="{3e2802c4-a4d2-4d8b-9148-e3be6c30e623}">
          <xlrd:rvb i="590"/>
        </ext>
      </extLst>
    </bk>
    <bk>
      <extLst>
        <ext uri="{3e2802c4-a4d2-4d8b-9148-e3be6c30e623}">
          <xlrd:rvb i="591"/>
        </ext>
      </extLst>
    </bk>
    <bk>
      <extLst>
        <ext uri="{3e2802c4-a4d2-4d8b-9148-e3be6c30e623}">
          <xlrd:rvb i="592"/>
        </ext>
      </extLst>
    </bk>
    <bk>
      <extLst>
        <ext uri="{3e2802c4-a4d2-4d8b-9148-e3be6c30e623}">
          <xlrd:rvb i="593"/>
        </ext>
      </extLst>
    </bk>
    <bk>
      <extLst>
        <ext uri="{3e2802c4-a4d2-4d8b-9148-e3be6c30e623}">
          <xlrd:rvb i="594"/>
        </ext>
      </extLst>
    </bk>
    <bk>
      <extLst>
        <ext uri="{3e2802c4-a4d2-4d8b-9148-e3be6c30e623}">
          <xlrd:rvb i="595"/>
        </ext>
      </extLst>
    </bk>
    <bk>
      <extLst>
        <ext uri="{3e2802c4-a4d2-4d8b-9148-e3be6c30e623}">
          <xlrd:rvb i="596"/>
        </ext>
      </extLst>
    </bk>
    <bk>
      <extLst>
        <ext uri="{3e2802c4-a4d2-4d8b-9148-e3be6c30e623}">
          <xlrd:rvb i="597"/>
        </ext>
      </extLst>
    </bk>
    <bk>
      <extLst>
        <ext uri="{3e2802c4-a4d2-4d8b-9148-e3be6c30e623}">
          <xlrd:rvb i="598"/>
        </ext>
      </extLst>
    </bk>
    <bk>
      <extLst>
        <ext uri="{3e2802c4-a4d2-4d8b-9148-e3be6c30e623}">
          <xlrd:rvb i="599"/>
        </ext>
      </extLst>
    </bk>
    <bk>
      <extLst>
        <ext uri="{3e2802c4-a4d2-4d8b-9148-e3be6c30e623}">
          <xlrd:rvb i="600"/>
        </ext>
      </extLst>
    </bk>
    <bk>
      <extLst>
        <ext uri="{3e2802c4-a4d2-4d8b-9148-e3be6c30e623}">
          <xlrd:rvb i="601"/>
        </ext>
      </extLst>
    </bk>
    <bk>
      <extLst>
        <ext uri="{3e2802c4-a4d2-4d8b-9148-e3be6c30e623}">
          <xlrd:rvb i="602"/>
        </ext>
      </extLst>
    </bk>
    <bk>
      <extLst>
        <ext uri="{3e2802c4-a4d2-4d8b-9148-e3be6c30e623}">
          <xlrd:rvb i="603"/>
        </ext>
      </extLst>
    </bk>
    <bk>
      <extLst>
        <ext uri="{3e2802c4-a4d2-4d8b-9148-e3be6c30e623}">
          <xlrd:rvb i="604"/>
        </ext>
      </extLst>
    </bk>
    <bk>
      <extLst>
        <ext uri="{3e2802c4-a4d2-4d8b-9148-e3be6c30e623}">
          <xlrd:rvb i="605"/>
        </ext>
      </extLst>
    </bk>
    <bk>
      <extLst>
        <ext uri="{3e2802c4-a4d2-4d8b-9148-e3be6c30e623}">
          <xlrd:rvb i="606"/>
        </ext>
      </extLst>
    </bk>
    <bk>
      <extLst>
        <ext uri="{3e2802c4-a4d2-4d8b-9148-e3be6c30e623}">
          <xlrd:rvb i="607"/>
        </ext>
      </extLst>
    </bk>
    <bk>
      <extLst>
        <ext uri="{3e2802c4-a4d2-4d8b-9148-e3be6c30e623}">
          <xlrd:rvb i="608"/>
        </ext>
      </extLst>
    </bk>
    <bk>
      <extLst>
        <ext uri="{3e2802c4-a4d2-4d8b-9148-e3be6c30e623}">
          <xlrd:rvb i="609"/>
        </ext>
      </extLst>
    </bk>
    <bk>
      <extLst>
        <ext uri="{3e2802c4-a4d2-4d8b-9148-e3be6c30e623}">
          <xlrd:rvb i="610"/>
        </ext>
      </extLst>
    </bk>
    <bk>
      <extLst>
        <ext uri="{3e2802c4-a4d2-4d8b-9148-e3be6c30e623}">
          <xlrd:rvb i="611"/>
        </ext>
      </extLst>
    </bk>
    <bk>
      <extLst>
        <ext uri="{3e2802c4-a4d2-4d8b-9148-e3be6c30e623}">
          <xlrd:rvb i="612"/>
        </ext>
      </extLst>
    </bk>
    <bk>
      <extLst>
        <ext uri="{3e2802c4-a4d2-4d8b-9148-e3be6c30e623}">
          <xlrd:rvb i="613"/>
        </ext>
      </extLst>
    </bk>
    <bk>
      <extLst>
        <ext uri="{3e2802c4-a4d2-4d8b-9148-e3be6c30e623}">
          <xlrd:rvb i="614"/>
        </ext>
      </extLst>
    </bk>
    <bk>
      <extLst>
        <ext uri="{3e2802c4-a4d2-4d8b-9148-e3be6c30e623}">
          <xlrd:rvb i="615"/>
        </ext>
      </extLst>
    </bk>
    <bk>
      <extLst>
        <ext uri="{3e2802c4-a4d2-4d8b-9148-e3be6c30e623}">
          <xlrd:rvb i="616"/>
        </ext>
      </extLst>
    </bk>
    <bk>
      <extLst>
        <ext uri="{3e2802c4-a4d2-4d8b-9148-e3be6c30e623}">
          <xlrd:rvb i="617"/>
        </ext>
      </extLst>
    </bk>
    <bk>
      <extLst>
        <ext uri="{3e2802c4-a4d2-4d8b-9148-e3be6c30e623}">
          <xlrd:rvb i="618"/>
        </ext>
      </extLst>
    </bk>
    <bk>
      <extLst>
        <ext uri="{3e2802c4-a4d2-4d8b-9148-e3be6c30e623}">
          <xlrd:rvb i="619"/>
        </ext>
      </extLst>
    </bk>
    <bk>
      <extLst>
        <ext uri="{3e2802c4-a4d2-4d8b-9148-e3be6c30e623}">
          <xlrd:rvb i="620"/>
        </ext>
      </extLst>
    </bk>
    <bk>
      <extLst>
        <ext uri="{3e2802c4-a4d2-4d8b-9148-e3be6c30e623}">
          <xlrd:rvb i="621"/>
        </ext>
      </extLst>
    </bk>
    <bk>
      <extLst>
        <ext uri="{3e2802c4-a4d2-4d8b-9148-e3be6c30e623}">
          <xlrd:rvb i="622"/>
        </ext>
      </extLst>
    </bk>
    <bk>
      <extLst>
        <ext uri="{3e2802c4-a4d2-4d8b-9148-e3be6c30e623}">
          <xlrd:rvb i="623"/>
        </ext>
      </extLst>
    </bk>
    <bk>
      <extLst>
        <ext uri="{3e2802c4-a4d2-4d8b-9148-e3be6c30e623}">
          <xlrd:rvb i="624"/>
        </ext>
      </extLst>
    </bk>
    <bk>
      <extLst>
        <ext uri="{3e2802c4-a4d2-4d8b-9148-e3be6c30e623}">
          <xlrd:rvb i="625"/>
        </ext>
      </extLst>
    </bk>
    <bk>
      <extLst>
        <ext uri="{3e2802c4-a4d2-4d8b-9148-e3be6c30e623}">
          <xlrd:rvb i="626"/>
        </ext>
      </extLst>
    </bk>
    <bk>
      <extLst>
        <ext uri="{3e2802c4-a4d2-4d8b-9148-e3be6c30e623}">
          <xlrd:rvb i="627"/>
        </ext>
      </extLst>
    </bk>
    <bk>
      <extLst>
        <ext uri="{3e2802c4-a4d2-4d8b-9148-e3be6c30e623}">
          <xlrd:rvb i="628"/>
        </ext>
      </extLst>
    </bk>
    <bk>
      <extLst>
        <ext uri="{3e2802c4-a4d2-4d8b-9148-e3be6c30e623}">
          <xlrd:rvb i="629"/>
        </ext>
      </extLst>
    </bk>
    <bk>
      <extLst>
        <ext uri="{3e2802c4-a4d2-4d8b-9148-e3be6c30e623}">
          <xlrd:rvb i="630"/>
        </ext>
      </extLst>
    </bk>
    <bk>
      <extLst>
        <ext uri="{3e2802c4-a4d2-4d8b-9148-e3be6c30e623}">
          <xlrd:rvb i="631"/>
        </ext>
      </extLst>
    </bk>
    <bk>
      <extLst>
        <ext uri="{3e2802c4-a4d2-4d8b-9148-e3be6c30e623}">
          <xlrd:rvb i="632"/>
        </ext>
      </extLst>
    </bk>
    <bk>
      <extLst>
        <ext uri="{3e2802c4-a4d2-4d8b-9148-e3be6c30e623}">
          <xlrd:rvb i="633"/>
        </ext>
      </extLst>
    </bk>
    <bk>
      <extLst>
        <ext uri="{3e2802c4-a4d2-4d8b-9148-e3be6c30e623}">
          <xlrd:rvb i="634"/>
        </ext>
      </extLst>
    </bk>
    <bk>
      <extLst>
        <ext uri="{3e2802c4-a4d2-4d8b-9148-e3be6c30e623}">
          <xlrd:rvb i="635"/>
        </ext>
      </extLst>
    </bk>
    <bk>
      <extLst>
        <ext uri="{3e2802c4-a4d2-4d8b-9148-e3be6c30e623}">
          <xlrd:rvb i="636"/>
        </ext>
      </extLst>
    </bk>
    <bk>
      <extLst>
        <ext uri="{3e2802c4-a4d2-4d8b-9148-e3be6c30e623}">
          <xlrd:rvb i="637"/>
        </ext>
      </extLst>
    </bk>
    <bk>
      <extLst>
        <ext uri="{3e2802c4-a4d2-4d8b-9148-e3be6c30e623}">
          <xlrd:rvb i="638"/>
        </ext>
      </extLst>
    </bk>
    <bk>
      <extLst>
        <ext uri="{3e2802c4-a4d2-4d8b-9148-e3be6c30e623}">
          <xlrd:rvb i="639"/>
        </ext>
      </extLst>
    </bk>
    <bk>
      <extLst>
        <ext uri="{3e2802c4-a4d2-4d8b-9148-e3be6c30e623}">
          <xlrd:rvb i="640"/>
        </ext>
      </extLst>
    </bk>
    <bk>
      <extLst>
        <ext uri="{3e2802c4-a4d2-4d8b-9148-e3be6c30e623}">
          <xlrd:rvb i="641"/>
        </ext>
      </extLst>
    </bk>
    <bk>
      <extLst>
        <ext uri="{3e2802c4-a4d2-4d8b-9148-e3be6c30e623}">
          <xlrd:rvb i="642"/>
        </ext>
      </extLst>
    </bk>
    <bk>
      <extLst>
        <ext uri="{3e2802c4-a4d2-4d8b-9148-e3be6c30e623}">
          <xlrd:rvb i="643"/>
        </ext>
      </extLst>
    </bk>
    <bk>
      <extLst>
        <ext uri="{3e2802c4-a4d2-4d8b-9148-e3be6c30e623}">
          <xlrd:rvb i="644"/>
        </ext>
      </extLst>
    </bk>
    <bk>
      <extLst>
        <ext uri="{3e2802c4-a4d2-4d8b-9148-e3be6c30e623}">
          <xlrd:rvb i="645"/>
        </ext>
      </extLst>
    </bk>
    <bk>
      <extLst>
        <ext uri="{3e2802c4-a4d2-4d8b-9148-e3be6c30e623}">
          <xlrd:rvb i="646"/>
        </ext>
      </extLst>
    </bk>
    <bk>
      <extLst>
        <ext uri="{3e2802c4-a4d2-4d8b-9148-e3be6c30e623}">
          <xlrd:rvb i="647"/>
        </ext>
      </extLst>
    </bk>
    <bk>
      <extLst>
        <ext uri="{3e2802c4-a4d2-4d8b-9148-e3be6c30e623}">
          <xlrd:rvb i="648"/>
        </ext>
      </extLst>
    </bk>
    <bk>
      <extLst>
        <ext uri="{3e2802c4-a4d2-4d8b-9148-e3be6c30e623}">
          <xlrd:rvb i="649"/>
        </ext>
      </extLst>
    </bk>
    <bk>
      <extLst>
        <ext uri="{3e2802c4-a4d2-4d8b-9148-e3be6c30e623}">
          <xlrd:rvb i="650"/>
        </ext>
      </extLst>
    </bk>
    <bk>
      <extLst>
        <ext uri="{3e2802c4-a4d2-4d8b-9148-e3be6c30e623}">
          <xlrd:rvb i="651"/>
        </ext>
      </extLst>
    </bk>
    <bk>
      <extLst>
        <ext uri="{3e2802c4-a4d2-4d8b-9148-e3be6c30e623}">
          <xlrd:rvb i="652"/>
        </ext>
      </extLst>
    </bk>
    <bk>
      <extLst>
        <ext uri="{3e2802c4-a4d2-4d8b-9148-e3be6c30e623}">
          <xlrd:rvb i="653"/>
        </ext>
      </extLst>
    </bk>
    <bk>
      <extLst>
        <ext uri="{3e2802c4-a4d2-4d8b-9148-e3be6c30e623}">
          <xlrd:rvb i="654"/>
        </ext>
      </extLst>
    </bk>
    <bk>
      <extLst>
        <ext uri="{3e2802c4-a4d2-4d8b-9148-e3be6c30e623}">
          <xlrd:rvb i="655"/>
        </ext>
      </extLst>
    </bk>
    <bk>
      <extLst>
        <ext uri="{3e2802c4-a4d2-4d8b-9148-e3be6c30e623}">
          <xlrd:rvb i="656"/>
        </ext>
      </extLst>
    </bk>
    <bk>
      <extLst>
        <ext uri="{3e2802c4-a4d2-4d8b-9148-e3be6c30e623}">
          <xlrd:rvb i="657"/>
        </ext>
      </extLst>
    </bk>
    <bk>
      <extLst>
        <ext uri="{3e2802c4-a4d2-4d8b-9148-e3be6c30e623}">
          <xlrd:rvb i="658"/>
        </ext>
      </extLst>
    </bk>
    <bk>
      <extLst>
        <ext uri="{3e2802c4-a4d2-4d8b-9148-e3be6c30e623}">
          <xlrd:rvb i="659"/>
        </ext>
      </extLst>
    </bk>
    <bk>
      <extLst>
        <ext uri="{3e2802c4-a4d2-4d8b-9148-e3be6c30e623}">
          <xlrd:rvb i="660"/>
        </ext>
      </extLst>
    </bk>
    <bk>
      <extLst>
        <ext uri="{3e2802c4-a4d2-4d8b-9148-e3be6c30e623}">
          <xlrd:rvb i="661"/>
        </ext>
      </extLst>
    </bk>
    <bk>
      <extLst>
        <ext uri="{3e2802c4-a4d2-4d8b-9148-e3be6c30e623}">
          <xlrd:rvb i="662"/>
        </ext>
      </extLst>
    </bk>
    <bk>
      <extLst>
        <ext uri="{3e2802c4-a4d2-4d8b-9148-e3be6c30e623}">
          <xlrd:rvb i="663"/>
        </ext>
      </extLst>
    </bk>
    <bk>
      <extLst>
        <ext uri="{3e2802c4-a4d2-4d8b-9148-e3be6c30e623}">
          <xlrd:rvb i="664"/>
        </ext>
      </extLst>
    </bk>
    <bk>
      <extLst>
        <ext uri="{3e2802c4-a4d2-4d8b-9148-e3be6c30e623}">
          <xlrd:rvb i="665"/>
        </ext>
      </extLst>
    </bk>
    <bk>
      <extLst>
        <ext uri="{3e2802c4-a4d2-4d8b-9148-e3be6c30e623}">
          <xlrd:rvb i="666"/>
        </ext>
      </extLst>
    </bk>
    <bk>
      <extLst>
        <ext uri="{3e2802c4-a4d2-4d8b-9148-e3be6c30e623}">
          <xlrd:rvb i="667"/>
        </ext>
      </extLst>
    </bk>
    <bk>
      <extLst>
        <ext uri="{3e2802c4-a4d2-4d8b-9148-e3be6c30e623}">
          <xlrd:rvb i="668"/>
        </ext>
      </extLst>
    </bk>
    <bk>
      <extLst>
        <ext uri="{3e2802c4-a4d2-4d8b-9148-e3be6c30e623}">
          <xlrd:rvb i="669"/>
        </ext>
      </extLst>
    </bk>
    <bk>
      <extLst>
        <ext uri="{3e2802c4-a4d2-4d8b-9148-e3be6c30e623}">
          <xlrd:rvb i="670"/>
        </ext>
      </extLst>
    </bk>
    <bk>
      <extLst>
        <ext uri="{3e2802c4-a4d2-4d8b-9148-e3be6c30e623}">
          <xlrd:rvb i="671"/>
        </ext>
      </extLst>
    </bk>
    <bk>
      <extLst>
        <ext uri="{3e2802c4-a4d2-4d8b-9148-e3be6c30e623}">
          <xlrd:rvb i="672"/>
        </ext>
      </extLst>
    </bk>
    <bk>
      <extLst>
        <ext uri="{3e2802c4-a4d2-4d8b-9148-e3be6c30e623}">
          <xlrd:rvb i="673"/>
        </ext>
      </extLst>
    </bk>
    <bk>
      <extLst>
        <ext uri="{3e2802c4-a4d2-4d8b-9148-e3be6c30e623}">
          <xlrd:rvb i="674"/>
        </ext>
      </extLst>
    </bk>
    <bk>
      <extLst>
        <ext uri="{3e2802c4-a4d2-4d8b-9148-e3be6c30e623}">
          <xlrd:rvb i="675"/>
        </ext>
      </extLst>
    </bk>
    <bk>
      <extLst>
        <ext uri="{3e2802c4-a4d2-4d8b-9148-e3be6c30e623}">
          <xlrd:rvb i="676"/>
        </ext>
      </extLst>
    </bk>
    <bk>
      <extLst>
        <ext uri="{3e2802c4-a4d2-4d8b-9148-e3be6c30e623}">
          <xlrd:rvb i="677"/>
        </ext>
      </extLst>
    </bk>
    <bk>
      <extLst>
        <ext uri="{3e2802c4-a4d2-4d8b-9148-e3be6c30e623}">
          <xlrd:rvb i="678"/>
        </ext>
      </extLst>
    </bk>
    <bk>
      <extLst>
        <ext uri="{3e2802c4-a4d2-4d8b-9148-e3be6c30e623}">
          <xlrd:rvb i="679"/>
        </ext>
      </extLst>
    </bk>
    <bk>
      <extLst>
        <ext uri="{3e2802c4-a4d2-4d8b-9148-e3be6c30e623}">
          <xlrd:rvb i="680"/>
        </ext>
      </extLst>
    </bk>
    <bk>
      <extLst>
        <ext uri="{3e2802c4-a4d2-4d8b-9148-e3be6c30e623}">
          <xlrd:rvb i="681"/>
        </ext>
      </extLst>
    </bk>
    <bk>
      <extLst>
        <ext uri="{3e2802c4-a4d2-4d8b-9148-e3be6c30e623}">
          <xlrd:rvb i="682"/>
        </ext>
      </extLst>
    </bk>
    <bk>
      <extLst>
        <ext uri="{3e2802c4-a4d2-4d8b-9148-e3be6c30e623}">
          <xlrd:rvb i="683"/>
        </ext>
      </extLst>
    </bk>
    <bk>
      <extLst>
        <ext uri="{3e2802c4-a4d2-4d8b-9148-e3be6c30e623}">
          <xlrd:rvb i="684"/>
        </ext>
      </extLst>
    </bk>
    <bk>
      <extLst>
        <ext uri="{3e2802c4-a4d2-4d8b-9148-e3be6c30e623}">
          <xlrd:rvb i="685"/>
        </ext>
      </extLst>
    </bk>
    <bk>
      <extLst>
        <ext uri="{3e2802c4-a4d2-4d8b-9148-e3be6c30e623}">
          <xlrd:rvb i="686"/>
        </ext>
      </extLst>
    </bk>
    <bk>
      <extLst>
        <ext uri="{3e2802c4-a4d2-4d8b-9148-e3be6c30e623}">
          <xlrd:rvb i="687"/>
        </ext>
      </extLst>
    </bk>
    <bk>
      <extLst>
        <ext uri="{3e2802c4-a4d2-4d8b-9148-e3be6c30e623}">
          <xlrd:rvb i="688"/>
        </ext>
      </extLst>
    </bk>
    <bk>
      <extLst>
        <ext uri="{3e2802c4-a4d2-4d8b-9148-e3be6c30e623}">
          <xlrd:rvb i="689"/>
        </ext>
      </extLst>
    </bk>
    <bk>
      <extLst>
        <ext uri="{3e2802c4-a4d2-4d8b-9148-e3be6c30e623}">
          <xlrd:rvb i="690"/>
        </ext>
      </extLst>
    </bk>
    <bk>
      <extLst>
        <ext uri="{3e2802c4-a4d2-4d8b-9148-e3be6c30e623}">
          <xlrd:rvb i="691"/>
        </ext>
      </extLst>
    </bk>
    <bk>
      <extLst>
        <ext uri="{3e2802c4-a4d2-4d8b-9148-e3be6c30e623}">
          <xlrd:rvb i="692"/>
        </ext>
      </extLst>
    </bk>
    <bk>
      <extLst>
        <ext uri="{3e2802c4-a4d2-4d8b-9148-e3be6c30e623}">
          <xlrd:rvb i="693"/>
        </ext>
      </extLst>
    </bk>
    <bk>
      <extLst>
        <ext uri="{3e2802c4-a4d2-4d8b-9148-e3be6c30e623}">
          <xlrd:rvb i="694"/>
        </ext>
      </extLst>
    </bk>
    <bk>
      <extLst>
        <ext uri="{3e2802c4-a4d2-4d8b-9148-e3be6c30e623}">
          <xlrd:rvb i="695"/>
        </ext>
      </extLst>
    </bk>
    <bk>
      <extLst>
        <ext uri="{3e2802c4-a4d2-4d8b-9148-e3be6c30e623}">
          <xlrd:rvb i="696"/>
        </ext>
      </extLst>
    </bk>
    <bk>
      <extLst>
        <ext uri="{3e2802c4-a4d2-4d8b-9148-e3be6c30e623}">
          <xlrd:rvb i="697"/>
        </ext>
      </extLst>
    </bk>
    <bk>
      <extLst>
        <ext uri="{3e2802c4-a4d2-4d8b-9148-e3be6c30e623}">
          <xlrd:rvb i="698"/>
        </ext>
      </extLst>
    </bk>
    <bk>
      <extLst>
        <ext uri="{3e2802c4-a4d2-4d8b-9148-e3be6c30e623}">
          <xlrd:rvb i="699"/>
        </ext>
      </extLst>
    </bk>
    <bk>
      <extLst>
        <ext uri="{3e2802c4-a4d2-4d8b-9148-e3be6c30e623}">
          <xlrd:rvb i="700"/>
        </ext>
      </extLst>
    </bk>
    <bk>
      <extLst>
        <ext uri="{3e2802c4-a4d2-4d8b-9148-e3be6c30e623}">
          <xlrd:rvb i="701"/>
        </ext>
      </extLst>
    </bk>
    <bk>
      <extLst>
        <ext uri="{3e2802c4-a4d2-4d8b-9148-e3be6c30e623}">
          <xlrd:rvb i="702"/>
        </ext>
      </extLst>
    </bk>
    <bk>
      <extLst>
        <ext uri="{3e2802c4-a4d2-4d8b-9148-e3be6c30e623}">
          <xlrd:rvb i="703"/>
        </ext>
      </extLst>
    </bk>
    <bk>
      <extLst>
        <ext uri="{3e2802c4-a4d2-4d8b-9148-e3be6c30e623}">
          <xlrd:rvb i="704"/>
        </ext>
      </extLst>
    </bk>
    <bk>
      <extLst>
        <ext uri="{3e2802c4-a4d2-4d8b-9148-e3be6c30e623}">
          <xlrd:rvb i="705"/>
        </ext>
      </extLst>
    </bk>
    <bk>
      <extLst>
        <ext uri="{3e2802c4-a4d2-4d8b-9148-e3be6c30e623}">
          <xlrd:rvb i="706"/>
        </ext>
      </extLst>
    </bk>
    <bk>
      <extLst>
        <ext uri="{3e2802c4-a4d2-4d8b-9148-e3be6c30e623}">
          <xlrd:rvb i="707"/>
        </ext>
      </extLst>
    </bk>
    <bk>
      <extLst>
        <ext uri="{3e2802c4-a4d2-4d8b-9148-e3be6c30e623}">
          <xlrd:rvb i="708"/>
        </ext>
      </extLst>
    </bk>
    <bk>
      <extLst>
        <ext uri="{3e2802c4-a4d2-4d8b-9148-e3be6c30e623}">
          <xlrd:rvb i="709"/>
        </ext>
      </extLst>
    </bk>
    <bk>
      <extLst>
        <ext uri="{3e2802c4-a4d2-4d8b-9148-e3be6c30e623}">
          <xlrd:rvb i="710"/>
        </ext>
      </extLst>
    </bk>
    <bk>
      <extLst>
        <ext uri="{3e2802c4-a4d2-4d8b-9148-e3be6c30e623}">
          <xlrd:rvb i="711"/>
        </ext>
      </extLst>
    </bk>
    <bk>
      <extLst>
        <ext uri="{3e2802c4-a4d2-4d8b-9148-e3be6c30e623}">
          <xlrd:rvb i="712"/>
        </ext>
      </extLst>
    </bk>
    <bk>
      <extLst>
        <ext uri="{3e2802c4-a4d2-4d8b-9148-e3be6c30e623}">
          <xlrd:rvb i="713"/>
        </ext>
      </extLst>
    </bk>
    <bk>
      <extLst>
        <ext uri="{3e2802c4-a4d2-4d8b-9148-e3be6c30e623}">
          <xlrd:rvb i="714"/>
        </ext>
      </extLst>
    </bk>
    <bk>
      <extLst>
        <ext uri="{3e2802c4-a4d2-4d8b-9148-e3be6c30e623}">
          <xlrd:rvb i="715"/>
        </ext>
      </extLst>
    </bk>
    <bk>
      <extLst>
        <ext uri="{3e2802c4-a4d2-4d8b-9148-e3be6c30e623}">
          <xlrd:rvb i="716"/>
        </ext>
      </extLst>
    </bk>
    <bk>
      <extLst>
        <ext uri="{3e2802c4-a4d2-4d8b-9148-e3be6c30e623}">
          <xlrd:rvb i="717"/>
        </ext>
      </extLst>
    </bk>
    <bk>
      <extLst>
        <ext uri="{3e2802c4-a4d2-4d8b-9148-e3be6c30e623}">
          <xlrd:rvb i="718"/>
        </ext>
      </extLst>
    </bk>
    <bk>
      <extLst>
        <ext uri="{3e2802c4-a4d2-4d8b-9148-e3be6c30e623}">
          <xlrd:rvb i="719"/>
        </ext>
      </extLst>
    </bk>
    <bk>
      <extLst>
        <ext uri="{3e2802c4-a4d2-4d8b-9148-e3be6c30e623}">
          <xlrd:rvb i="720"/>
        </ext>
      </extLst>
    </bk>
    <bk>
      <extLst>
        <ext uri="{3e2802c4-a4d2-4d8b-9148-e3be6c30e623}">
          <xlrd:rvb i="721"/>
        </ext>
      </extLst>
    </bk>
    <bk>
      <extLst>
        <ext uri="{3e2802c4-a4d2-4d8b-9148-e3be6c30e623}">
          <xlrd:rvb i="722"/>
        </ext>
      </extLst>
    </bk>
    <bk>
      <extLst>
        <ext uri="{3e2802c4-a4d2-4d8b-9148-e3be6c30e623}">
          <xlrd:rvb i="723"/>
        </ext>
      </extLst>
    </bk>
    <bk>
      <extLst>
        <ext uri="{3e2802c4-a4d2-4d8b-9148-e3be6c30e623}">
          <xlrd:rvb i="724"/>
        </ext>
      </extLst>
    </bk>
    <bk>
      <extLst>
        <ext uri="{3e2802c4-a4d2-4d8b-9148-e3be6c30e623}">
          <xlrd:rvb i="725"/>
        </ext>
      </extLst>
    </bk>
    <bk>
      <extLst>
        <ext uri="{3e2802c4-a4d2-4d8b-9148-e3be6c30e623}">
          <xlrd:rvb i="726"/>
        </ext>
      </extLst>
    </bk>
    <bk>
      <extLst>
        <ext uri="{3e2802c4-a4d2-4d8b-9148-e3be6c30e623}">
          <xlrd:rvb i="727"/>
        </ext>
      </extLst>
    </bk>
    <bk>
      <extLst>
        <ext uri="{3e2802c4-a4d2-4d8b-9148-e3be6c30e623}">
          <xlrd:rvb i="728"/>
        </ext>
      </extLst>
    </bk>
    <bk>
      <extLst>
        <ext uri="{3e2802c4-a4d2-4d8b-9148-e3be6c30e623}">
          <xlrd:rvb i="729"/>
        </ext>
      </extLst>
    </bk>
    <bk>
      <extLst>
        <ext uri="{3e2802c4-a4d2-4d8b-9148-e3be6c30e623}">
          <xlrd:rvb i="730"/>
        </ext>
      </extLst>
    </bk>
    <bk>
      <extLst>
        <ext uri="{3e2802c4-a4d2-4d8b-9148-e3be6c30e623}">
          <xlrd:rvb i="731"/>
        </ext>
      </extLst>
    </bk>
    <bk>
      <extLst>
        <ext uri="{3e2802c4-a4d2-4d8b-9148-e3be6c30e623}">
          <xlrd:rvb i="732"/>
        </ext>
      </extLst>
    </bk>
    <bk>
      <extLst>
        <ext uri="{3e2802c4-a4d2-4d8b-9148-e3be6c30e623}">
          <xlrd:rvb i="733"/>
        </ext>
      </extLst>
    </bk>
    <bk>
      <extLst>
        <ext uri="{3e2802c4-a4d2-4d8b-9148-e3be6c30e623}">
          <xlrd:rvb i="734"/>
        </ext>
      </extLst>
    </bk>
    <bk>
      <extLst>
        <ext uri="{3e2802c4-a4d2-4d8b-9148-e3be6c30e623}">
          <xlrd:rvb i="735"/>
        </ext>
      </extLst>
    </bk>
    <bk>
      <extLst>
        <ext uri="{3e2802c4-a4d2-4d8b-9148-e3be6c30e623}">
          <xlrd:rvb i="736"/>
        </ext>
      </extLst>
    </bk>
    <bk>
      <extLst>
        <ext uri="{3e2802c4-a4d2-4d8b-9148-e3be6c30e623}">
          <xlrd:rvb i="737"/>
        </ext>
      </extLst>
    </bk>
    <bk>
      <extLst>
        <ext uri="{3e2802c4-a4d2-4d8b-9148-e3be6c30e623}">
          <xlrd:rvb i="738"/>
        </ext>
      </extLst>
    </bk>
    <bk>
      <extLst>
        <ext uri="{3e2802c4-a4d2-4d8b-9148-e3be6c30e623}">
          <xlrd:rvb i="739"/>
        </ext>
      </extLst>
    </bk>
    <bk>
      <extLst>
        <ext uri="{3e2802c4-a4d2-4d8b-9148-e3be6c30e623}">
          <xlrd:rvb i="740"/>
        </ext>
      </extLst>
    </bk>
    <bk>
      <extLst>
        <ext uri="{3e2802c4-a4d2-4d8b-9148-e3be6c30e623}">
          <xlrd:rvb i="741"/>
        </ext>
      </extLst>
    </bk>
    <bk>
      <extLst>
        <ext uri="{3e2802c4-a4d2-4d8b-9148-e3be6c30e623}">
          <xlrd:rvb i="742"/>
        </ext>
      </extLst>
    </bk>
    <bk>
      <extLst>
        <ext uri="{3e2802c4-a4d2-4d8b-9148-e3be6c30e623}">
          <xlrd:rvb i="743"/>
        </ext>
      </extLst>
    </bk>
    <bk>
      <extLst>
        <ext uri="{3e2802c4-a4d2-4d8b-9148-e3be6c30e623}">
          <xlrd:rvb i="744"/>
        </ext>
      </extLst>
    </bk>
    <bk>
      <extLst>
        <ext uri="{3e2802c4-a4d2-4d8b-9148-e3be6c30e623}">
          <xlrd:rvb i="745"/>
        </ext>
      </extLst>
    </bk>
    <bk>
      <extLst>
        <ext uri="{3e2802c4-a4d2-4d8b-9148-e3be6c30e623}">
          <xlrd:rvb i="746"/>
        </ext>
      </extLst>
    </bk>
    <bk>
      <extLst>
        <ext uri="{3e2802c4-a4d2-4d8b-9148-e3be6c30e623}">
          <xlrd:rvb i="747"/>
        </ext>
      </extLst>
    </bk>
    <bk>
      <extLst>
        <ext uri="{3e2802c4-a4d2-4d8b-9148-e3be6c30e623}">
          <xlrd:rvb i="748"/>
        </ext>
      </extLst>
    </bk>
    <bk>
      <extLst>
        <ext uri="{3e2802c4-a4d2-4d8b-9148-e3be6c30e623}">
          <xlrd:rvb i="749"/>
        </ext>
      </extLst>
    </bk>
    <bk>
      <extLst>
        <ext uri="{3e2802c4-a4d2-4d8b-9148-e3be6c30e623}">
          <xlrd:rvb i="750"/>
        </ext>
      </extLst>
    </bk>
    <bk>
      <extLst>
        <ext uri="{3e2802c4-a4d2-4d8b-9148-e3be6c30e623}">
          <xlrd:rvb i="751"/>
        </ext>
      </extLst>
    </bk>
    <bk>
      <extLst>
        <ext uri="{3e2802c4-a4d2-4d8b-9148-e3be6c30e623}">
          <xlrd:rvb i="752"/>
        </ext>
      </extLst>
    </bk>
    <bk>
      <extLst>
        <ext uri="{3e2802c4-a4d2-4d8b-9148-e3be6c30e623}">
          <xlrd:rvb i="753"/>
        </ext>
      </extLst>
    </bk>
    <bk>
      <extLst>
        <ext uri="{3e2802c4-a4d2-4d8b-9148-e3be6c30e623}">
          <xlrd:rvb i="754"/>
        </ext>
      </extLst>
    </bk>
    <bk>
      <extLst>
        <ext uri="{3e2802c4-a4d2-4d8b-9148-e3be6c30e623}">
          <xlrd:rvb i="755"/>
        </ext>
      </extLst>
    </bk>
    <bk>
      <extLst>
        <ext uri="{3e2802c4-a4d2-4d8b-9148-e3be6c30e623}">
          <xlrd:rvb i="756"/>
        </ext>
      </extLst>
    </bk>
    <bk>
      <extLst>
        <ext uri="{3e2802c4-a4d2-4d8b-9148-e3be6c30e623}">
          <xlrd:rvb i="757"/>
        </ext>
      </extLst>
    </bk>
    <bk>
      <extLst>
        <ext uri="{3e2802c4-a4d2-4d8b-9148-e3be6c30e623}">
          <xlrd:rvb i="758"/>
        </ext>
      </extLst>
    </bk>
    <bk>
      <extLst>
        <ext uri="{3e2802c4-a4d2-4d8b-9148-e3be6c30e623}">
          <xlrd:rvb i="759"/>
        </ext>
      </extLst>
    </bk>
    <bk>
      <extLst>
        <ext uri="{3e2802c4-a4d2-4d8b-9148-e3be6c30e623}">
          <xlrd:rvb i="760"/>
        </ext>
      </extLst>
    </bk>
    <bk>
      <extLst>
        <ext uri="{3e2802c4-a4d2-4d8b-9148-e3be6c30e623}">
          <xlrd:rvb i="761"/>
        </ext>
      </extLst>
    </bk>
    <bk>
      <extLst>
        <ext uri="{3e2802c4-a4d2-4d8b-9148-e3be6c30e623}">
          <xlrd:rvb i="762"/>
        </ext>
      </extLst>
    </bk>
    <bk>
      <extLst>
        <ext uri="{3e2802c4-a4d2-4d8b-9148-e3be6c30e623}">
          <xlrd:rvb i="763"/>
        </ext>
      </extLst>
    </bk>
    <bk>
      <extLst>
        <ext uri="{3e2802c4-a4d2-4d8b-9148-e3be6c30e623}">
          <xlrd:rvb i="764"/>
        </ext>
      </extLst>
    </bk>
    <bk>
      <extLst>
        <ext uri="{3e2802c4-a4d2-4d8b-9148-e3be6c30e623}">
          <xlrd:rvb i="765"/>
        </ext>
      </extLst>
    </bk>
    <bk>
      <extLst>
        <ext uri="{3e2802c4-a4d2-4d8b-9148-e3be6c30e623}">
          <xlrd:rvb i="766"/>
        </ext>
      </extLst>
    </bk>
    <bk>
      <extLst>
        <ext uri="{3e2802c4-a4d2-4d8b-9148-e3be6c30e623}">
          <xlrd:rvb i="767"/>
        </ext>
      </extLst>
    </bk>
    <bk>
      <extLst>
        <ext uri="{3e2802c4-a4d2-4d8b-9148-e3be6c30e623}">
          <xlrd:rvb i="768"/>
        </ext>
      </extLst>
    </bk>
    <bk>
      <extLst>
        <ext uri="{3e2802c4-a4d2-4d8b-9148-e3be6c30e623}">
          <xlrd:rvb i="769"/>
        </ext>
      </extLst>
    </bk>
    <bk>
      <extLst>
        <ext uri="{3e2802c4-a4d2-4d8b-9148-e3be6c30e623}">
          <xlrd:rvb i="770"/>
        </ext>
      </extLst>
    </bk>
    <bk>
      <extLst>
        <ext uri="{3e2802c4-a4d2-4d8b-9148-e3be6c30e623}">
          <xlrd:rvb i="771"/>
        </ext>
      </extLst>
    </bk>
    <bk>
      <extLst>
        <ext uri="{3e2802c4-a4d2-4d8b-9148-e3be6c30e623}">
          <xlrd:rvb i="772"/>
        </ext>
      </extLst>
    </bk>
    <bk>
      <extLst>
        <ext uri="{3e2802c4-a4d2-4d8b-9148-e3be6c30e623}">
          <xlrd:rvb i="773"/>
        </ext>
      </extLst>
    </bk>
    <bk>
      <extLst>
        <ext uri="{3e2802c4-a4d2-4d8b-9148-e3be6c30e623}">
          <xlrd:rvb i="774"/>
        </ext>
      </extLst>
    </bk>
    <bk>
      <extLst>
        <ext uri="{3e2802c4-a4d2-4d8b-9148-e3be6c30e623}">
          <xlrd:rvb i="775"/>
        </ext>
      </extLst>
    </bk>
    <bk>
      <extLst>
        <ext uri="{3e2802c4-a4d2-4d8b-9148-e3be6c30e623}">
          <xlrd:rvb i="776"/>
        </ext>
      </extLst>
    </bk>
    <bk>
      <extLst>
        <ext uri="{3e2802c4-a4d2-4d8b-9148-e3be6c30e623}">
          <xlrd:rvb i="777"/>
        </ext>
      </extLst>
    </bk>
    <bk>
      <extLst>
        <ext uri="{3e2802c4-a4d2-4d8b-9148-e3be6c30e623}">
          <xlrd:rvb i="778"/>
        </ext>
      </extLst>
    </bk>
    <bk>
      <extLst>
        <ext uri="{3e2802c4-a4d2-4d8b-9148-e3be6c30e623}">
          <xlrd:rvb i="779"/>
        </ext>
      </extLst>
    </bk>
    <bk>
      <extLst>
        <ext uri="{3e2802c4-a4d2-4d8b-9148-e3be6c30e623}">
          <xlrd:rvb i="780"/>
        </ext>
      </extLst>
    </bk>
    <bk>
      <extLst>
        <ext uri="{3e2802c4-a4d2-4d8b-9148-e3be6c30e623}">
          <xlrd:rvb i="781"/>
        </ext>
      </extLst>
    </bk>
    <bk>
      <extLst>
        <ext uri="{3e2802c4-a4d2-4d8b-9148-e3be6c30e623}">
          <xlrd:rvb i="782"/>
        </ext>
      </extLst>
    </bk>
    <bk>
      <extLst>
        <ext uri="{3e2802c4-a4d2-4d8b-9148-e3be6c30e623}">
          <xlrd:rvb i="783"/>
        </ext>
      </extLst>
    </bk>
    <bk>
      <extLst>
        <ext uri="{3e2802c4-a4d2-4d8b-9148-e3be6c30e623}">
          <xlrd:rvb i="784"/>
        </ext>
      </extLst>
    </bk>
    <bk>
      <extLst>
        <ext uri="{3e2802c4-a4d2-4d8b-9148-e3be6c30e623}">
          <xlrd:rvb i="785"/>
        </ext>
      </extLst>
    </bk>
    <bk>
      <extLst>
        <ext uri="{3e2802c4-a4d2-4d8b-9148-e3be6c30e623}">
          <xlrd:rvb i="786"/>
        </ext>
      </extLst>
    </bk>
    <bk>
      <extLst>
        <ext uri="{3e2802c4-a4d2-4d8b-9148-e3be6c30e623}">
          <xlrd:rvb i="787"/>
        </ext>
      </extLst>
    </bk>
    <bk>
      <extLst>
        <ext uri="{3e2802c4-a4d2-4d8b-9148-e3be6c30e623}">
          <xlrd:rvb i="788"/>
        </ext>
      </extLst>
    </bk>
    <bk>
      <extLst>
        <ext uri="{3e2802c4-a4d2-4d8b-9148-e3be6c30e623}">
          <xlrd:rvb i="789"/>
        </ext>
      </extLst>
    </bk>
    <bk>
      <extLst>
        <ext uri="{3e2802c4-a4d2-4d8b-9148-e3be6c30e623}">
          <xlrd:rvb i="790"/>
        </ext>
      </extLst>
    </bk>
    <bk>
      <extLst>
        <ext uri="{3e2802c4-a4d2-4d8b-9148-e3be6c30e623}">
          <xlrd:rvb i="791"/>
        </ext>
      </extLst>
    </bk>
    <bk>
      <extLst>
        <ext uri="{3e2802c4-a4d2-4d8b-9148-e3be6c30e623}">
          <xlrd:rvb i="792"/>
        </ext>
      </extLst>
    </bk>
    <bk>
      <extLst>
        <ext uri="{3e2802c4-a4d2-4d8b-9148-e3be6c30e623}">
          <xlrd:rvb i="793"/>
        </ext>
      </extLst>
    </bk>
    <bk>
      <extLst>
        <ext uri="{3e2802c4-a4d2-4d8b-9148-e3be6c30e623}">
          <xlrd:rvb i="794"/>
        </ext>
      </extLst>
    </bk>
    <bk>
      <extLst>
        <ext uri="{3e2802c4-a4d2-4d8b-9148-e3be6c30e623}">
          <xlrd:rvb i="795"/>
        </ext>
      </extLst>
    </bk>
    <bk>
      <extLst>
        <ext uri="{3e2802c4-a4d2-4d8b-9148-e3be6c30e623}">
          <xlrd:rvb i="796"/>
        </ext>
      </extLst>
    </bk>
    <bk>
      <extLst>
        <ext uri="{3e2802c4-a4d2-4d8b-9148-e3be6c30e623}">
          <xlrd:rvb i="797"/>
        </ext>
      </extLst>
    </bk>
    <bk>
      <extLst>
        <ext uri="{3e2802c4-a4d2-4d8b-9148-e3be6c30e623}">
          <xlrd:rvb i="798"/>
        </ext>
      </extLst>
    </bk>
    <bk>
      <extLst>
        <ext uri="{3e2802c4-a4d2-4d8b-9148-e3be6c30e623}">
          <xlrd:rvb i="799"/>
        </ext>
      </extLst>
    </bk>
    <bk>
      <extLst>
        <ext uri="{3e2802c4-a4d2-4d8b-9148-e3be6c30e623}">
          <xlrd:rvb i="800"/>
        </ext>
      </extLst>
    </bk>
    <bk>
      <extLst>
        <ext uri="{3e2802c4-a4d2-4d8b-9148-e3be6c30e623}">
          <xlrd:rvb i="801"/>
        </ext>
      </extLst>
    </bk>
    <bk>
      <extLst>
        <ext uri="{3e2802c4-a4d2-4d8b-9148-e3be6c30e623}">
          <xlrd:rvb i="802"/>
        </ext>
      </extLst>
    </bk>
    <bk>
      <extLst>
        <ext uri="{3e2802c4-a4d2-4d8b-9148-e3be6c30e623}">
          <xlrd:rvb i="803"/>
        </ext>
      </extLst>
    </bk>
    <bk>
      <extLst>
        <ext uri="{3e2802c4-a4d2-4d8b-9148-e3be6c30e623}">
          <xlrd:rvb i="804"/>
        </ext>
      </extLst>
    </bk>
    <bk>
      <extLst>
        <ext uri="{3e2802c4-a4d2-4d8b-9148-e3be6c30e623}">
          <xlrd:rvb i="805"/>
        </ext>
      </extLst>
    </bk>
    <bk>
      <extLst>
        <ext uri="{3e2802c4-a4d2-4d8b-9148-e3be6c30e623}">
          <xlrd:rvb i="806"/>
        </ext>
      </extLst>
    </bk>
    <bk>
      <extLst>
        <ext uri="{3e2802c4-a4d2-4d8b-9148-e3be6c30e623}">
          <xlrd:rvb i="807"/>
        </ext>
      </extLst>
    </bk>
    <bk>
      <extLst>
        <ext uri="{3e2802c4-a4d2-4d8b-9148-e3be6c30e623}">
          <xlrd:rvb i="808"/>
        </ext>
      </extLst>
    </bk>
    <bk>
      <extLst>
        <ext uri="{3e2802c4-a4d2-4d8b-9148-e3be6c30e623}">
          <xlrd:rvb i="809"/>
        </ext>
      </extLst>
    </bk>
    <bk>
      <extLst>
        <ext uri="{3e2802c4-a4d2-4d8b-9148-e3be6c30e623}">
          <xlrd:rvb i="810"/>
        </ext>
      </extLst>
    </bk>
    <bk>
      <extLst>
        <ext uri="{3e2802c4-a4d2-4d8b-9148-e3be6c30e623}">
          <xlrd:rvb i="811"/>
        </ext>
      </extLst>
    </bk>
    <bk>
      <extLst>
        <ext uri="{3e2802c4-a4d2-4d8b-9148-e3be6c30e623}">
          <xlrd:rvb i="812"/>
        </ext>
      </extLst>
    </bk>
    <bk>
      <extLst>
        <ext uri="{3e2802c4-a4d2-4d8b-9148-e3be6c30e623}">
          <xlrd:rvb i="813"/>
        </ext>
      </extLst>
    </bk>
    <bk>
      <extLst>
        <ext uri="{3e2802c4-a4d2-4d8b-9148-e3be6c30e623}">
          <xlrd:rvb i="814"/>
        </ext>
      </extLst>
    </bk>
    <bk>
      <extLst>
        <ext uri="{3e2802c4-a4d2-4d8b-9148-e3be6c30e623}">
          <xlrd:rvb i="815"/>
        </ext>
      </extLst>
    </bk>
    <bk>
      <extLst>
        <ext uri="{3e2802c4-a4d2-4d8b-9148-e3be6c30e623}">
          <xlrd:rvb i="816"/>
        </ext>
      </extLst>
    </bk>
    <bk>
      <extLst>
        <ext uri="{3e2802c4-a4d2-4d8b-9148-e3be6c30e623}">
          <xlrd:rvb i="817"/>
        </ext>
      </extLst>
    </bk>
    <bk>
      <extLst>
        <ext uri="{3e2802c4-a4d2-4d8b-9148-e3be6c30e623}">
          <xlrd:rvb i="818"/>
        </ext>
      </extLst>
    </bk>
    <bk>
      <extLst>
        <ext uri="{3e2802c4-a4d2-4d8b-9148-e3be6c30e623}">
          <xlrd:rvb i="819"/>
        </ext>
      </extLst>
    </bk>
    <bk>
      <extLst>
        <ext uri="{3e2802c4-a4d2-4d8b-9148-e3be6c30e623}">
          <xlrd:rvb i="820"/>
        </ext>
      </extLst>
    </bk>
    <bk>
      <extLst>
        <ext uri="{3e2802c4-a4d2-4d8b-9148-e3be6c30e623}">
          <xlrd:rvb i="821"/>
        </ext>
      </extLst>
    </bk>
    <bk>
      <extLst>
        <ext uri="{3e2802c4-a4d2-4d8b-9148-e3be6c30e623}">
          <xlrd:rvb i="822"/>
        </ext>
      </extLst>
    </bk>
    <bk>
      <extLst>
        <ext uri="{3e2802c4-a4d2-4d8b-9148-e3be6c30e623}">
          <xlrd:rvb i="823"/>
        </ext>
      </extLst>
    </bk>
    <bk>
      <extLst>
        <ext uri="{3e2802c4-a4d2-4d8b-9148-e3be6c30e623}">
          <xlrd:rvb i="824"/>
        </ext>
      </extLst>
    </bk>
    <bk>
      <extLst>
        <ext uri="{3e2802c4-a4d2-4d8b-9148-e3be6c30e623}">
          <xlrd:rvb i="825"/>
        </ext>
      </extLst>
    </bk>
    <bk>
      <extLst>
        <ext uri="{3e2802c4-a4d2-4d8b-9148-e3be6c30e623}">
          <xlrd:rvb i="826"/>
        </ext>
      </extLst>
    </bk>
    <bk>
      <extLst>
        <ext uri="{3e2802c4-a4d2-4d8b-9148-e3be6c30e623}">
          <xlrd:rvb i="827"/>
        </ext>
      </extLst>
    </bk>
    <bk>
      <extLst>
        <ext uri="{3e2802c4-a4d2-4d8b-9148-e3be6c30e623}">
          <xlrd:rvb i="828"/>
        </ext>
      </extLst>
    </bk>
    <bk>
      <extLst>
        <ext uri="{3e2802c4-a4d2-4d8b-9148-e3be6c30e623}">
          <xlrd:rvb i="829"/>
        </ext>
      </extLst>
    </bk>
    <bk>
      <extLst>
        <ext uri="{3e2802c4-a4d2-4d8b-9148-e3be6c30e623}">
          <xlrd:rvb i="830"/>
        </ext>
      </extLst>
    </bk>
    <bk>
      <extLst>
        <ext uri="{3e2802c4-a4d2-4d8b-9148-e3be6c30e623}">
          <xlrd:rvb i="831"/>
        </ext>
      </extLst>
    </bk>
    <bk>
      <extLst>
        <ext uri="{3e2802c4-a4d2-4d8b-9148-e3be6c30e623}">
          <xlrd:rvb i="832"/>
        </ext>
      </extLst>
    </bk>
    <bk>
      <extLst>
        <ext uri="{3e2802c4-a4d2-4d8b-9148-e3be6c30e623}">
          <xlrd:rvb i="833"/>
        </ext>
      </extLst>
    </bk>
    <bk>
      <extLst>
        <ext uri="{3e2802c4-a4d2-4d8b-9148-e3be6c30e623}">
          <xlrd:rvb i="834"/>
        </ext>
      </extLst>
    </bk>
    <bk>
      <extLst>
        <ext uri="{3e2802c4-a4d2-4d8b-9148-e3be6c30e623}">
          <xlrd:rvb i="835"/>
        </ext>
      </extLst>
    </bk>
    <bk>
      <extLst>
        <ext uri="{3e2802c4-a4d2-4d8b-9148-e3be6c30e623}">
          <xlrd:rvb i="836"/>
        </ext>
      </extLst>
    </bk>
    <bk>
      <extLst>
        <ext uri="{3e2802c4-a4d2-4d8b-9148-e3be6c30e623}">
          <xlrd:rvb i="837"/>
        </ext>
      </extLst>
    </bk>
    <bk>
      <extLst>
        <ext uri="{3e2802c4-a4d2-4d8b-9148-e3be6c30e623}">
          <xlrd:rvb i="838"/>
        </ext>
      </extLst>
    </bk>
    <bk>
      <extLst>
        <ext uri="{3e2802c4-a4d2-4d8b-9148-e3be6c30e623}">
          <xlrd:rvb i="839"/>
        </ext>
      </extLst>
    </bk>
    <bk>
      <extLst>
        <ext uri="{3e2802c4-a4d2-4d8b-9148-e3be6c30e623}">
          <xlrd:rvb i="840"/>
        </ext>
      </extLst>
    </bk>
    <bk>
      <extLst>
        <ext uri="{3e2802c4-a4d2-4d8b-9148-e3be6c30e623}">
          <xlrd:rvb i="841"/>
        </ext>
      </extLst>
    </bk>
    <bk>
      <extLst>
        <ext uri="{3e2802c4-a4d2-4d8b-9148-e3be6c30e623}">
          <xlrd:rvb i="842"/>
        </ext>
      </extLst>
    </bk>
    <bk>
      <extLst>
        <ext uri="{3e2802c4-a4d2-4d8b-9148-e3be6c30e623}">
          <xlrd:rvb i="843"/>
        </ext>
      </extLst>
    </bk>
    <bk>
      <extLst>
        <ext uri="{3e2802c4-a4d2-4d8b-9148-e3be6c30e623}">
          <xlrd:rvb i="844"/>
        </ext>
      </extLst>
    </bk>
    <bk>
      <extLst>
        <ext uri="{3e2802c4-a4d2-4d8b-9148-e3be6c30e623}">
          <xlrd:rvb i="845"/>
        </ext>
      </extLst>
    </bk>
    <bk>
      <extLst>
        <ext uri="{3e2802c4-a4d2-4d8b-9148-e3be6c30e623}">
          <xlrd:rvb i="846"/>
        </ext>
      </extLst>
    </bk>
    <bk>
      <extLst>
        <ext uri="{3e2802c4-a4d2-4d8b-9148-e3be6c30e623}">
          <xlrd:rvb i="847"/>
        </ext>
      </extLst>
    </bk>
    <bk>
      <extLst>
        <ext uri="{3e2802c4-a4d2-4d8b-9148-e3be6c30e623}">
          <xlrd:rvb i="848"/>
        </ext>
      </extLst>
    </bk>
    <bk>
      <extLst>
        <ext uri="{3e2802c4-a4d2-4d8b-9148-e3be6c30e623}">
          <xlrd:rvb i="849"/>
        </ext>
      </extLst>
    </bk>
    <bk>
      <extLst>
        <ext uri="{3e2802c4-a4d2-4d8b-9148-e3be6c30e623}">
          <xlrd:rvb i="850"/>
        </ext>
      </extLst>
    </bk>
    <bk>
      <extLst>
        <ext uri="{3e2802c4-a4d2-4d8b-9148-e3be6c30e623}">
          <xlrd:rvb i="851"/>
        </ext>
      </extLst>
    </bk>
    <bk>
      <extLst>
        <ext uri="{3e2802c4-a4d2-4d8b-9148-e3be6c30e623}">
          <xlrd:rvb i="852"/>
        </ext>
      </extLst>
    </bk>
    <bk>
      <extLst>
        <ext uri="{3e2802c4-a4d2-4d8b-9148-e3be6c30e623}">
          <xlrd:rvb i="853"/>
        </ext>
      </extLst>
    </bk>
    <bk>
      <extLst>
        <ext uri="{3e2802c4-a4d2-4d8b-9148-e3be6c30e623}">
          <xlrd:rvb i="854"/>
        </ext>
      </extLst>
    </bk>
    <bk>
      <extLst>
        <ext uri="{3e2802c4-a4d2-4d8b-9148-e3be6c30e623}">
          <xlrd:rvb i="855"/>
        </ext>
      </extLst>
    </bk>
    <bk>
      <extLst>
        <ext uri="{3e2802c4-a4d2-4d8b-9148-e3be6c30e623}">
          <xlrd:rvb i="856"/>
        </ext>
      </extLst>
    </bk>
    <bk>
      <extLst>
        <ext uri="{3e2802c4-a4d2-4d8b-9148-e3be6c30e623}">
          <xlrd:rvb i="857"/>
        </ext>
      </extLst>
    </bk>
    <bk>
      <extLst>
        <ext uri="{3e2802c4-a4d2-4d8b-9148-e3be6c30e623}">
          <xlrd:rvb i="858"/>
        </ext>
      </extLst>
    </bk>
    <bk>
      <extLst>
        <ext uri="{3e2802c4-a4d2-4d8b-9148-e3be6c30e623}">
          <xlrd:rvb i="859"/>
        </ext>
      </extLst>
    </bk>
    <bk>
      <extLst>
        <ext uri="{3e2802c4-a4d2-4d8b-9148-e3be6c30e623}">
          <xlrd:rvb i="860"/>
        </ext>
      </extLst>
    </bk>
    <bk>
      <extLst>
        <ext uri="{3e2802c4-a4d2-4d8b-9148-e3be6c30e623}">
          <xlrd:rvb i="861"/>
        </ext>
      </extLst>
    </bk>
    <bk>
      <extLst>
        <ext uri="{3e2802c4-a4d2-4d8b-9148-e3be6c30e623}">
          <xlrd:rvb i="862"/>
        </ext>
      </extLst>
    </bk>
    <bk>
      <extLst>
        <ext uri="{3e2802c4-a4d2-4d8b-9148-e3be6c30e623}">
          <xlrd:rvb i="863"/>
        </ext>
      </extLst>
    </bk>
    <bk>
      <extLst>
        <ext uri="{3e2802c4-a4d2-4d8b-9148-e3be6c30e623}">
          <xlrd:rvb i="864"/>
        </ext>
      </extLst>
    </bk>
    <bk>
      <extLst>
        <ext uri="{3e2802c4-a4d2-4d8b-9148-e3be6c30e623}">
          <xlrd:rvb i="865"/>
        </ext>
      </extLst>
    </bk>
    <bk>
      <extLst>
        <ext uri="{3e2802c4-a4d2-4d8b-9148-e3be6c30e623}">
          <xlrd:rvb i="866"/>
        </ext>
      </extLst>
    </bk>
    <bk>
      <extLst>
        <ext uri="{3e2802c4-a4d2-4d8b-9148-e3be6c30e623}">
          <xlrd:rvb i="867"/>
        </ext>
      </extLst>
    </bk>
    <bk>
      <extLst>
        <ext uri="{3e2802c4-a4d2-4d8b-9148-e3be6c30e623}">
          <xlrd:rvb i="868"/>
        </ext>
      </extLst>
    </bk>
    <bk>
      <extLst>
        <ext uri="{3e2802c4-a4d2-4d8b-9148-e3be6c30e623}">
          <xlrd:rvb i="869"/>
        </ext>
      </extLst>
    </bk>
    <bk>
      <extLst>
        <ext uri="{3e2802c4-a4d2-4d8b-9148-e3be6c30e623}">
          <xlrd:rvb i="870"/>
        </ext>
      </extLst>
    </bk>
    <bk>
      <extLst>
        <ext uri="{3e2802c4-a4d2-4d8b-9148-e3be6c30e623}">
          <xlrd:rvb i="871"/>
        </ext>
      </extLst>
    </bk>
    <bk>
      <extLst>
        <ext uri="{3e2802c4-a4d2-4d8b-9148-e3be6c30e623}">
          <xlrd:rvb i="872"/>
        </ext>
      </extLst>
    </bk>
    <bk>
      <extLst>
        <ext uri="{3e2802c4-a4d2-4d8b-9148-e3be6c30e623}">
          <xlrd:rvb i="873"/>
        </ext>
      </extLst>
    </bk>
    <bk>
      <extLst>
        <ext uri="{3e2802c4-a4d2-4d8b-9148-e3be6c30e623}">
          <xlrd:rvb i="874"/>
        </ext>
      </extLst>
    </bk>
    <bk>
      <extLst>
        <ext uri="{3e2802c4-a4d2-4d8b-9148-e3be6c30e623}">
          <xlrd:rvb i="875"/>
        </ext>
      </extLst>
    </bk>
    <bk>
      <extLst>
        <ext uri="{3e2802c4-a4d2-4d8b-9148-e3be6c30e623}">
          <xlrd:rvb i="876"/>
        </ext>
      </extLst>
    </bk>
    <bk>
      <extLst>
        <ext uri="{3e2802c4-a4d2-4d8b-9148-e3be6c30e623}">
          <xlrd:rvb i="877"/>
        </ext>
      </extLst>
    </bk>
    <bk>
      <extLst>
        <ext uri="{3e2802c4-a4d2-4d8b-9148-e3be6c30e623}">
          <xlrd:rvb i="878"/>
        </ext>
      </extLst>
    </bk>
    <bk>
      <extLst>
        <ext uri="{3e2802c4-a4d2-4d8b-9148-e3be6c30e623}">
          <xlrd:rvb i="879"/>
        </ext>
      </extLst>
    </bk>
    <bk>
      <extLst>
        <ext uri="{3e2802c4-a4d2-4d8b-9148-e3be6c30e623}">
          <xlrd:rvb i="880"/>
        </ext>
      </extLst>
    </bk>
    <bk>
      <extLst>
        <ext uri="{3e2802c4-a4d2-4d8b-9148-e3be6c30e623}">
          <xlrd:rvb i="881"/>
        </ext>
      </extLst>
    </bk>
    <bk>
      <extLst>
        <ext uri="{3e2802c4-a4d2-4d8b-9148-e3be6c30e623}">
          <xlrd:rvb i="882"/>
        </ext>
      </extLst>
    </bk>
    <bk>
      <extLst>
        <ext uri="{3e2802c4-a4d2-4d8b-9148-e3be6c30e623}">
          <xlrd:rvb i="883"/>
        </ext>
      </extLst>
    </bk>
    <bk>
      <extLst>
        <ext uri="{3e2802c4-a4d2-4d8b-9148-e3be6c30e623}">
          <xlrd:rvb i="884"/>
        </ext>
      </extLst>
    </bk>
    <bk>
      <extLst>
        <ext uri="{3e2802c4-a4d2-4d8b-9148-e3be6c30e623}">
          <xlrd:rvb i="885"/>
        </ext>
      </extLst>
    </bk>
    <bk>
      <extLst>
        <ext uri="{3e2802c4-a4d2-4d8b-9148-e3be6c30e623}">
          <xlrd:rvb i="886"/>
        </ext>
      </extLst>
    </bk>
    <bk>
      <extLst>
        <ext uri="{3e2802c4-a4d2-4d8b-9148-e3be6c30e623}">
          <xlrd:rvb i="887"/>
        </ext>
      </extLst>
    </bk>
    <bk>
      <extLst>
        <ext uri="{3e2802c4-a4d2-4d8b-9148-e3be6c30e623}">
          <xlrd:rvb i="888"/>
        </ext>
      </extLst>
    </bk>
    <bk>
      <extLst>
        <ext uri="{3e2802c4-a4d2-4d8b-9148-e3be6c30e623}">
          <xlrd:rvb i="889"/>
        </ext>
      </extLst>
    </bk>
    <bk>
      <extLst>
        <ext uri="{3e2802c4-a4d2-4d8b-9148-e3be6c30e623}">
          <xlrd:rvb i="890"/>
        </ext>
      </extLst>
    </bk>
    <bk>
      <extLst>
        <ext uri="{3e2802c4-a4d2-4d8b-9148-e3be6c30e623}">
          <xlrd:rvb i="891"/>
        </ext>
      </extLst>
    </bk>
    <bk>
      <extLst>
        <ext uri="{3e2802c4-a4d2-4d8b-9148-e3be6c30e623}">
          <xlrd:rvb i="892"/>
        </ext>
      </extLst>
    </bk>
    <bk>
      <extLst>
        <ext uri="{3e2802c4-a4d2-4d8b-9148-e3be6c30e623}">
          <xlrd:rvb i="893"/>
        </ext>
      </extLst>
    </bk>
    <bk>
      <extLst>
        <ext uri="{3e2802c4-a4d2-4d8b-9148-e3be6c30e623}">
          <xlrd:rvb i="894"/>
        </ext>
      </extLst>
    </bk>
  </futureMetadata>
  <cellMetadata count="1">
    <bk>
      <rc t="1" v="0"/>
    </bk>
  </cellMetadata>
  <valueMetadata count="895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  <bk>
      <rc t="2" v="14"/>
    </bk>
    <bk>
      <rc t="2" v="15"/>
    </bk>
    <bk>
      <rc t="2" v="16"/>
    </bk>
    <bk>
      <rc t="2" v="17"/>
    </bk>
    <bk>
      <rc t="2" v="18"/>
    </bk>
    <bk>
      <rc t="2" v="19"/>
    </bk>
    <bk>
      <rc t="2" v="20"/>
    </bk>
    <bk>
      <rc t="2" v="21"/>
    </bk>
    <bk>
      <rc t="2" v="22"/>
    </bk>
    <bk>
      <rc t="2" v="23"/>
    </bk>
    <bk>
      <rc t="2" v="24"/>
    </bk>
    <bk>
      <rc t="2" v="25"/>
    </bk>
    <bk>
      <rc t="2" v="26"/>
    </bk>
    <bk>
      <rc t="2" v="27"/>
    </bk>
    <bk>
      <rc t="2" v="28"/>
    </bk>
    <bk>
      <rc t="2" v="29"/>
    </bk>
    <bk>
      <rc t="2" v="30"/>
    </bk>
    <bk>
      <rc t="2" v="31"/>
    </bk>
    <bk>
      <rc t="2" v="32"/>
    </bk>
    <bk>
      <rc t="2" v="33"/>
    </bk>
    <bk>
      <rc t="2" v="34"/>
    </bk>
    <bk>
      <rc t="2" v="35"/>
    </bk>
    <bk>
      <rc t="2" v="36"/>
    </bk>
    <bk>
      <rc t="2" v="37"/>
    </bk>
    <bk>
      <rc t="2" v="38"/>
    </bk>
    <bk>
      <rc t="2" v="39"/>
    </bk>
    <bk>
      <rc t="2" v="40"/>
    </bk>
    <bk>
      <rc t="2" v="41"/>
    </bk>
    <bk>
      <rc t="2" v="42"/>
    </bk>
    <bk>
      <rc t="2" v="43"/>
    </bk>
    <bk>
      <rc t="2" v="44"/>
    </bk>
    <bk>
      <rc t="2" v="45"/>
    </bk>
    <bk>
      <rc t="2" v="46"/>
    </bk>
    <bk>
      <rc t="2" v="47"/>
    </bk>
    <bk>
      <rc t="2" v="48"/>
    </bk>
    <bk>
      <rc t="2" v="49"/>
    </bk>
    <bk>
      <rc t="2" v="50"/>
    </bk>
    <bk>
      <rc t="2" v="51"/>
    </bk>
    <bk>
      <rc t="2" v="52"/>
    </bk>
    <bk>
      <rc t="2" v="53"/>
    </bk>
    <bk>
      <rc t="2" v="54"/>
    </bk>
    <bk>
      <rc t="2" v="55"/>
    </bk>
    <bk>
      <rc t="2" v="56"/>
    </bk>
    <bk>
      <rc t="2" v="57"/>
    </bk>
    <bk>
      <rc t="2" v="58"/>
    </bk>
    <bk>
      <rc t="2" v="59"/>
    </bk>
    <bk>
      <rc t="2" v="60"/>
    </bk>
    <bk>
      <rc t="2" v="61"/>
    </bk>
    <bk>
      <rc t="2" v="62"/>
    </bk>
    <bk>
      <rc t="2" v="63"/>
    </bk>
    <bk>
      <rc t="2" v="64"/>
    </bk>
    <bk>
      <rc t="2" v="65"/>
    </bk>
    <bk>
      <rc t="2" v="66"/>
    </bk>
    <bk>
      <rc t="2" v="67"/>
    </bk>
    <bk>
      <rc t="2" v="68"/>
    </bk>
    <bk>
      <rc t="2" v="69"/>
    </bk>
    <bk>
      <rc t="2" v="70"/>
    </bk>
    <bk>
      <rc t="2" v="71"/>
    </bk>
    <bk>
      <rc t="2" v="72"/>
    </bk>
    <bk>
      <rc t="2" v="73"/>
    </bk>
    <bk>
      <rc t="2" v="74"/>
    </bk>
    <bk>
      <rc t="2" v="75"/>
    </bk>
    <bk>
      <rc t="2" v="76"/>
    </bk>
    <bk>
      <rc t="2" v="77"/>
    </bk>
    <bk>
      <rc t="2" v="78"/>
    </bk>
    <bk>
      <rc t="2" v="79"/>
    </bk>
    <bk>
      <rc t="2" v="80"/>
    </bk>
    <bk>
      <rc t="2" v="81"/>
    </bk>
    <bk>
      <rc t="2" v="82"/>
    </bk>
    <bk>
      <rc t="2" v="83"/>
    </bk>
    <bk>
      <rc t="2" v="84"/>
    </bk>
    <bk>
      <rc t="2" v="85"/>
    </bk>
    <bk>
      <rc t="2" v="86"/>
    </bk>
    <bk>
      <rc t="2" v="87"/>
    </bk>
    <bk>
      <rc t="2" v="88"/>
    </bk>
    <bk>
      <rc t="2" v="89"/>
    </bk>
    <bk>
      <rc t="2" v="90"/>
    </bk>
    <bk>
      <rc t="2" v="91"/>
    </bk>
    <bk>
      <rc t="2" v="92"/>
    </bk>
    <bk>
      <rc t="2" v="93"/>
    </bk>
    <bk>
      <rc t="2" v="94"/>
    </bk>
    <bk>
      <rc t="2" v="95"/>
    </bk>
    <bk>
      <rc t="2" v="96"/>
    </bk>
    <bk>
      <rc t="2" v="97"/>
    </bk>
    <bk>
      <rc t="2" v="98"/>
    </bk>
    <bk>
      <rc t="2" v="99"/>
    </bk>
    <bk>
      <rc t="2" v="100"/>
    </bk>
    <bk>
      <rc t="2" v="101"/>
    </bk>
    <bk>
      <rc t="2" v="102"/>
    </bk>
    <bk>
      <rc t="2" v="103"/>
    </bk>
    <bk>
      <rc t="2" v="104"/>
    </bk>
    <bk>
      <rc t="2" v="105"/>
    </bk>
    <bk>
      <rc t="2" v="106"/>
    </bk>
    <bk>
      <rc t="2" v="107"/>
    </bk>
    <bk>
      <rc t="2" v="108"/>
    </bk>
    <bk>
      <rc t="2" v="109"/>
    </bk>
    <bk>
      <rc t="2" v="110"/>
    </bk>
    <bk>
      <rc t="2" v="111"/>
    </bk>
    <bk>
      <rc t="2" v="112"/>
    </bk>
    <bk>
      <rc t="2" v="113"/>
    </bk>
    <bk>
      <rc t="2" v="114"/>
    </bk>
    <bk>
      <rc t="2" v="115"/>
    </bk>
    <bk>
      <rc t="2" v="116"/>
    </bk>
    <bk>
      <rc t="2" v="117"/>
    </bk>
    <bk>
      <rc t="2" v="118"/>
    </bk>
    <bk>
      <rc t="2" v="119"/>
    </bk>
    <bk>
      <rc t="2" v="120"/>
    </bk>
    <bk>
      <rc t="2" v="121"/>
    </bk>
    <bk>
      <rc t="2" v="122"/>
    </bk>
    <bk>
      <rc t="2" v="123"/>
    </bk>
    <bk>
      <rc t="2" v="124"/>
    </bk>
    <bk>
      <rc t="2" v="125"/>
    </bk>
    <bk>
      <rc t="2" v="126"/>
    </bk>
    <bk>
      <rc t="2" v="127"/>
    </bk>
    <bk>
      <rc t="2" v="128"/>
    </bk>
    <bk>
      <rc t="2" v="129"/>
    </bk>
    <bk>
      <rc t="2" v="130"/>
    </bk>
    <bk>
      <rc t="2" v="131"/>
    </bk>
    <bk>
      <rc t="2" v="132"/>
    </bk>
    <bk>
      <rc t="2" v="133"/>
    </bk>
    <bk>
      <rc t="2" v="134"/>
    </bk>
    <bk>
      <rc t="2" v="135"/>
    </bk>
    <bk>
      <rc t="2" v="136"/>
    </bk>
    <bk>
      <rc t="2" v="137"/>
    </bk>
    <bk>
      <rc t="2" v="138"/>
    </bk>
    <bk>
      <rc t="2" v="139"/>
    </bk>
    <bk>
      <rc t="2" v="140"/>
    </bk>
    <bk>
      <rc t="2" v="141"/>
    </bk>
    <bk>
      <rc t="2" v="142"/>
    </bk>
    <bk>
      <rc t="2" v="143"/>
    </bk>
    <bk>
      <rc t="2" v="144"/>
    </bk>
    <bk>
      <rc t="2" v="145"/>
    </bk>
    <bk>
      <rc t="2" v="146"/>
    </bk>
    <bk>
      <rc t="2" v="147"/>
    </bk>
    <bk>
      <rc t="2" v="148"/>
    </bk>
    <bk>
      <rc t="2" v="149"/>
    </bk>
    <bk>
      <rc t="2" v="150"/>
    </bk>
    <bk>
      <rc t="2" v="151"/>
    </bk>
    <bk>
      <rc t="2" v="152"/>
    </bk>
    <bk>
      <rc t="2" v="153"/>
    </bk>
    <bk>
      <rc t="2" v="154"/>
    </bk>
    <bk>
      <rc t="2" v="155"/>
    </bk>
    <bk>
      <rc t="2" v="156"/>
    </bk>
    <bk>
      <rc t="2" v="157"/>
    </bk>
    <bk>
      <rc t="2" v="158"/>
    </bk>
    <bk>
      <rc t="2" v="159"/>
    </bk>
    <bk>
      <rc t="2" v="160"/>
    </bk>
    <bk>
      <rc t="2" v="161"/>
    </bk>
    <bk>
      <rc t="2" v="162"/>
    </bk>
    <bk>
      <rc t="2" v="163"/>
    </bk>
    <bk>
      <rc t="2" v="164"/>
    </bk>
    <bk>
      <rc t="2" v="165"/>
    </bk>
    <bk>
      <rc t="2" v="166"/>
    </bk>
    <bk>
      <rc t="2" v="167"/>
    </bk>
    <bk>
      <rc t="2" v="168"/>
    </bk>
    <bk>
      <rc t="2" v="169"/>
    </bk>
    <bk>
      <rc t="2" v="170"/>
    </bk>
    <bk>
      <rc t="2" v="171"/>
    </bk>
    <bk>
      <rc t="2" v="172"/>
    </bk>
    <bk>
      <rc t="2" v="173"/>
    </bk>
    <bk>
      <rc t="2" v="174"/>
    </bk>
    <bk>
      <rc t="2" v="175"/>
    </bk>
    <bk>
      <rc t="2" v="176"/>
    </bk>
    <bk>
      <rc t="2" v="177"/>
    </bk>
    <bk>
      <rc t="2" v="178"/>
    </bk>
    <bk>
      <rc t="2" v="179"/>
    </bk>
    <bk>
      <rc t="2" v="180"/>
    </bk>
    <bk>
      <rc t="2" v="181"/>
    </bk>
    <bk>
      <rc t="2" v="182"/>
    </bk>
    <bk>
      <rc t="2" v="183"/>
    </bk>
    <bk>
      <rc t="2" v="184"/>
    </bk>
    <bk>
      <rc t="2" v="185"/>
    </bk>
    <bk>
      <rc t="2" v="186"/>
    </bk>
    <bk>
      <rc t="2" v="187"/>
    </bk>
    <bk>
      <rc t="2" v="188"/>
    </bk>
    <bk>
      <rc t="2" v="189"/>
    </bk>
    <bk>
      <rc t="2" v="190"/>
    </bk>
    <bk>
      <rc t="2" v="191"/>
    </bk>
    <bk>
      <rc t="2" v="192"/>
    </bk>
    <bk>
      <rc t="2" v="193"/>
    </bk>
    <bk>
      <rc t="2" v="194"/>
    </bk>
    <bk>
      <rc t="2" v="195"/>
    </bk>
    <bk>
      <rc t="2" v="196"/>
    </bk>
    <bk>
      <rc t="2" v="197"/>
    </bk>
    <bk>
      <rc t="2" v="198"/>
    </bk>
    <bk>
      <rc t="2" v="199"/>
    </bk>
    <bk>
      <rc t="2" v="200"/>
    </bk>
    <bk>
      <rc t="2" v="201"/>
    </bk>
    <bk>
      <rc t="2" v="202"/>
    </bk>
    <bk>
      <rc t="2" v="203"/>
    </bk>
    <bk>
      <rc t="2" v="204"/>
    </bk>
    <bk>
      <rc t="2" v="205"/>
    </bk>
    <bk>
      <rc t="2" v="206"/>
    </bk>
    <bk>
      <rc t="2" v="207"/>
    </bk>
    <bk>
      <rc t="2" v="208"/>
    </bk>
    <bk>
      <rc t="2" v="209"/>
    </bk>
    <bk>
      <rc t="2" v="210"/>
    </bk>
    <bk>
      <rc t="2" v="211"/>
    </bk>
    <bk>
      <rc t="2" v="212"/>
    </bk>
    <bk>
      <rc t="2" v="213"/>
    </bk>
    <bk>
      <rc t="2" v="214"/>
    </bk>
    <bk>
      <rc t="2" v="215"/>
    </bk>
    <bk>
      <rc t="2" v="216"/>
    </bk>
    <bk>
      <rc t="2" v="217"/>
    </bk>
    <bk>
      <rc t="2" v="218"/>
    </bk>
    <bk>
      <rc t="2" v="219"/>
    </bk>
    <bk>
      <rc t="2" v="220"/>
    </bk>
    <bk>
      <rc t="2" v="221"/>
    </bk>
    <bk>
      <rc t="2" v="222"/>
    </bk>
    <bk>
      <rc t="2" v="223"/>
    </bk>
    <bk>
      <rc t="2" v="224"/>
    </bk>
    <bk>
      <rc t="2" v="225"/>
    </bk>
    <bk>
      <rc t="2" v="226"/>
    </bk>
    <bk>
      <rc t="2" v="227"/>
    </bk>
    <bk>
      <rc t="2" v="228"/>
    </bk>
    <bk>
      <rc t="2" v="229"/>
    </bk>
    <bk>
      <rc t="2" v="230"/>
    </bk>
    <bk>
      <rc t="2" v="231"/>
    </bk>
    <bk>
      <rc t="2" v="232"/>
    </bk>
    <bk>
      <rc t="2" v="233"/>
    </bk>
    <bk>
      <rc t="2" v="234"/>
    </bk>
    <bk>
      <rc t="2" v="235"/>
    </bk>
    <bk>
      <rc t="2" v="236"/>
    </bk>
    <bk>
      <rc t="2" v="237"/>
    </bk>
    <bk>
      <rc t="2" v="238"/>
    </bk>
    <bk>
      <rc t="2" v="239"/>
    </bk>
    <bk>
      <rc t="2" v="240"/>
    </bk>
    <bk>
      <rc t="2" v="241"/>
    </bk>
    <bk>
      <rc t="2" v="242"/>
    </bk>
    <bk>
      <rc t="2" v="243"/>
    </bk>
    <bk>
      <rc t="2" v="244"/>
    </bk>
    <bk>
      <rc t="2" v="245"/>
    </bk>
    <bk>
      <rc t="2" v="246"/>
    </bk>
    <bk>
      <rc t="2" v="247"/>
    </bk>
    <bk>
      <rc t="2" v="248"/>
    </bk>
    <bk>
      <rc t="2" v="249"/>
    </bk>
    <bk>
      <rc t="2" v="250"/>
    </bk>
    <bk>
      <rc t="2" v="251"/>
    </bk>
    <bk>
      <rc t="2" v="252"/>
    </bk>
    <bk>
      <rc t="2" v="253"/>
    </bk>
    <bk>
      <rc t="2" v="254"/>
    </bk>
    <bk>
      <rc t="2" v="255"/>
    </bk>
    <bk>
      <rc t="2" v="256"/>
    </bk>
    <bk>
      <rc t="2" v="257"/>
    </bk>
    <bk>
      <rc t="2" v="258"/>
    </bk>
    <bk>
      <rc t="2" v="259"/>
    </bk>
    <bk>
      <rc t="2" v="260"/>
    </bk>
    <bk>
      <rc t="2" v="261"/>
    </bk>
    <bk>
      <rc t="2" v="262"/>
    </bk>
    <bk>
      <rc t="2" v="263"/>
    </bk>
    <bk>
      <rc t="2" v="264"/>
    </bk>
    <bk>
      <rc t="2" v="265"/>
    </bk>
    <bk>
      <rc t="2" v="266"/>
    </bk>
    <bk>
      <rc t="2" v="267"/>
    </bk>
    <bk>
      <rc t="2" v="268"/>
    </bk>
    <bk>
      <rc t="2" v="269"/>
    </bk>
    <bk>
      <rc t="2" v="270"/>
    </bk>
    <bk>
      <rc t="2" v="271"/>
    </bk>
    <bk>
      <rc t="2" v="272"/>
    </bk>
    <bk>
      <rc t="2" v="273"/>
    </bk>
    <bk>
      <rc t="2" v="274"/>
    </bk>
    <bk>
      <rc t="2" v="275"/>
    </bk>
    <bk>
      <rc t="2" v="276"/>
    </bk>
    <bk>
      <rc t="2" v="277"/>
    </bk>
    <bk>
      <rc t="2" v="278"/>
    </bk>
    <bk>
      <rc t="2" v="279"/>
    </bk>
    <bk>
      <rc t="2" v="280"/>
    </bk>
    <bk>
      <rc t="2" v="281"/>
    </bk>
    <bk>
      <rc t="2" v="282"/>
    </bk>
    <bk>
      <rc t="2" v="283"/>
    </bk>
    <bk>
      <rc t="2" v="284"/>
    </bk>
    <bk>
      <rc t="2" v="285"/>
    </bk>
    <bk>
      <rc t="2" v="286"/>
    </bk>
    <bk>
      <rc t="2" v="287"/>
    </bk>
    <bk>
      <rc t="2" v="288"/>
    </bk>
    <bk>
      <rc t="2" v="289"/>
    </bk>
    <bk>
      <rc t="2" v="290"/>
    </bk>
    <bk>
      <rc t="2" v="291"/>
    </bk>
    <bk>
      <rc t="2" v="292"/>
    </bk>
    <bk>
      <rc t="2" v="293"/>
    </bk>
    <bk>
      <rc t="2" v="294"/>
    </bk>
    <bk>
      <rc t="2" v="295"/>
    </bk>
    <bk>
      <rc t="2" v="296"/>
    </bk>
    <bk>
      <rc t="2" v="297"/>
    </bk>
    <bk>
      <rc t="2" v="298"/>
    </bk>
    <bk>
      <rc t="2" v="299"/>
    </bk>
    <bk>
      <rc t="2" v="300"/>
    </bk>
    <bk>
      <rc t="2" v="301"/>
    </bk>
    <bk>
      <rc t="2" v="302"/>
    </bk>
    <bk>
      <rc t="2" v="303"/>
    </bk>
    <bk>
      <rc t="2" v="304"/>
    </bk>
    <bk>
      <rc t="2" v="305"/>
    </bk>
    <bk>
      <rc t="2" v="306"/>
    </bk>
    <bk>
      <rc t="2" v="307"/>
    </bk>
    <bk>
      <rc t="2" v="308"/>
    </bk>
    <bk>
      <rc t="2" v="309"/>
    </bk>
    <bk>
      <rc t="2" v="310"/>
    </bk>
    <bk>
      <rc t="2" v="311"/>
    </bk>
    <bk>
      <rc t="2" v="312"/>
    </bk>
    <bk>
      <rc t="2" v="313"/>
    </bk>
    <bk>
      <rc t="2" v="314"/>
    </bk>
    <bk>
      <rc t="2" v="315"/>
    </bk>
    <bk>
      <rc t="2" v="316"/>
    </bk>
    <bk>
      <rc t="2" v="317"/>
    </bk>
    <bk>
      <rc t="2" v="318"/>
    </bk>
    <bk>
      <rc t="2" v="319"/>
    </bk>
    <bk>
      <rc t="2" v="320"/>
    </bk>
    <bk>
      <rc t="2" v="321"/>
    </bk>
    <bk>
      <rc t="2" v="322"/>
    </bk>
    <bk>
      <rc t="2" v="323"/>
    </bk>
    <bk>
      <rc t="2" v="324"/>
    </bk>
    <bk>
      <rc t="2" v="325"/>
    </bk>
    <bk>
      <rc t="2" v="326"/>
    </bk>
    <bk>
      <rc t="2" v="327"/>
    </bk>
    <bk>
      <rc t="2" v="328"/>
    </bk>
    <bk>
      <rc t="2" v="329"/>
    </bk>
    <bk>
      <rc t="2" v="330"/>
    </bk>
    <bk>
      <rc t="2" v="331"/>
    </bk>
    <bk>
      <rc t="2" v="332"/>
    </bk>
    <bk>
      <rc t="2" v="333"/>
    </bk>
    <bk>
      <rc t="2" v="334"/>
    </bk>
    <bk>
      <rc t="2" v="335"/>
    </bk>
    <bk>
      <rc t="2" v="336"/>
    </bk>
    <bk>
      <rc t="2" v="337"/>
    </bk>
    <bk>
      <rc t="2" v="338"/>
    </bk>
    <bk>
      <rc t="2" v="339"/>
    </bk>
    <bk>
      <rc t="2" v="340"/>
    </bk>
    <bk>
      <rc t="2" v="341"/>
    </bk>
    <bk>
      <rc t="2" v="342"/>
    </bk>
    <bk>
      <rc t="2" v="343"/>
    </bk>
    <bk>
      <rc t="2" v="344"/>
    </bk>
    <bk>
      <rc t="2" v="345"/>
    </bk>
    <bk>
      <rc t="2" v="346"/>
    </bk>
    <bk>
      <rc t="2" v="347"/>
    </bk>
    <bk>
      <rc t="2" v="348"/>
    </bk>
    <bk>
      <rc t="2" v="349"/>
    </bk>
    <bk>
      <rc t="2" v="350"/>
    </bk>
    <bk>
      <rc t="2" v="351"/>
    </bk>
    <bk>
      <rc t="2" v="352"/>
    </bk>
    <bk>
      <rc t="2" v="353"/>
    </bk>
    <bk>
      <rc t="2" v="354"/>
    </bk>
    <bk>
      <rc t="2" v="355"/>
    </bk>
    <bk>
      <rc t="2" v="356"/>
    </bk>
    <bk>
      <rc t="2" v="357"/>
    </bk>
    <bk>
      <rc t="2" v="358"/>
    </bk>
    <bk>
      <rc t="2" v="359"/>
    </bk>
    <bk>
      <rc t="2" v="360"/>
    </bk>
    <bk>
      <rc t="2" v="361"/>
    </bk>
    <bk>
      <rc t="2" v="362"/>
    </bk>
    <bk>
      <rc t="2" v="363"/>
    </bk>
    <bk>
      <rc t="2" v="364"/>
    </bk>
    <bk>
      <rc t="2" v="365"/>
    </bk>
    <bk>
      <rc t="2" v="366"/>
    </bk>
    <bk>
      <rc t="2" v="367"/>
    </bk>
    <bk>
      <rc t="2" v="368"/>
    </bk>
    <bk>
      <rc t="2" v="369"/>
    </bk>
    <bk>
      <rc t="2" v="370"/>
    </bk>
    <bk>
      <rc t="2" v="371"/>
    </bk>
    <bk>
      <rc t="2" v="372"/>
    </bk>
    <bk>
      <rc t="2" v="373"/>
    </bk>
    <bk>
      <rc t="2" v="374"/>
    </bk>
    <bk>
      <rc t="2" v="375"/>
    </bk>
    <bk>
      <rc t="2" v="376"/>
    </bk>
    <bk>
      <rc t="2" v="377"/>
    </bk>
    <bk>
      <rc t="2" v="378"/>
    </bk>
    <bk>
      <rc t="2" v="379"/>
    </bk>
    <bk>
      <rc t="2" v="380"/>
    </bk>
    <bk>
      <rc t="2" v="381"/>
    </bk>
    <bk>
      <rc t="2" v="382"/>
    </bk>
    <bk>
      <rc t="2" v="383"/>
    </bk>
    <bk>
      <rc t="2" v="384"/>
    </bk>
    <bk>
      <rc t="2" v="385"/>
    </bk>
    <bk>
      <rc t="2" v="386"/>
    </bk>
    <bk>
      <rc t="2" v="387"/>
    </bk>
    <bk>
      <rc t="2" v="388"/>
    </bk>
    <bk>
      <rc t="2" v="389"/>
    </bk>
    <bk>
      <rc t="2" v="390"/>
    </bk>
    <bk>
      <rc t="2" v="391"/>
    </bk>
    <bk>
      <rc t="2" v="392"/>
    </bk>
    <bk>
      <rc t="2" v="393"/>
    </bk>
    <bk>
      <rc t="2" v="394"/>
    </bk>
    <bk>
      <rc t="2" v="395"/>
    </bk>
    <bk>
      <rc t="2" v="396"/>
    </bk>
    <bk>
      <rc t="2" v="397"/>
    </bk>
    <bk>
      <rc t="2" v="398"/>
    </bk>
    <bk>
      <rc t="2" v="399"/>
    </bk>
    <bk>
      <rc t="2" v="400"/>
    </bk>
    <bk>
      <rc t="2" v="401"/>
    </bk>
    <bk>
      <rc t="2" v="402"/>
    </bk>
    <bk>
      <rc t="2" v="403"/>
    </bk>
    <bk>
      <rc t="2" v="404"/>
    </bk>
    <bk>
      <rc t="2" v="405"/>
    </bk>
    <bk>
      <rc t="2" v="406"/>
    </bk>
    <bk>
      <rc t="2" v="407"/>
    </bk>
    <bk>
      <rc t="2" v="408"/>
    </bk>
    <bk>
      <rc t="2" v="409"/>
    </bk>
    <bk>
      <rc t="2" v="410"/>
    </bk>
    <bk>
      <rc t="2" v="411"/>
    </bk>
    <bk>
      <rc t="2" v="412"/>
    </bk>
    <bk>
      <rc t="2" v="413"/>
    </bk>
    <bk>
      <rc t="2" v="414"/>
    </bk>
    <bk>
      <rc t="2" v="415"/>
    </bk>
    <bk>
      <rc t="2" v="416"/>
    </bk>
    <bk>
      <rc t="2" v="417"/>
    </bk>
    <bk>
      <rc t="2" v="418"/>
    </bk>
    <bk>
      <rc t="2" v="419"/>
    </bk>
    <bk>
      <rc t="2" v="420"/>
    </bk>
    <bk>
      <rc t="2" v="421"/>
    </bk>
    <bk>
      <rc t="2" v="422"/>
    </bk>
    <bk>
      <rc t="2" v="423"/>
    </bk>
    <bk>
      <rc t="2" v="424"/>
    </bk>
    <bk>
      <rc t="2" v="425"/>
    </bk>
    <bk>
      <rc t="2" v="426"/>
    </bk>
    <bk>
      <rc t="2" v="427"/>
    </bk>
    <bk>
      <rc t="2" v="428"/>
    </bk>
    <bk>
      <rc t="2" v="429"/>
    </bk>
    <bk>
      <rc t="2" v="430"/>
    </bk>
    <bk>
      <rc t="2" v="431"/>
    </bk>
    <bk>
      <rc t="2" v="432"/>
    </bk>
    <bk>
      <rc t="2" v="433"/>
    </bk>
    <bk>
      <rc t="2" v="434"/>
    </bk>
    <bk>
      <rc t="2" v="435"/>
    </bk>
    <bk>
      <rc t="2" v="436"/>
    </bk>
    <bk>
      <rc t="2" v="437"/>
    </bk>
    <bk>
      <rc t="2" v="438"/>
    </bk>
    <bk>
      <rc t="2" v="439"/>
    </bk>
    <bk>
      <rc t="2" v="440"/>
    </bk>
    <bk>
      <rc t="2" v="441"/>
    </bk>
    <bk>
      <rc t="2" v="442"/>
    </bk>
    <bk>
      <rc t="2" v="443"/>
    </bk>
    <bk>
      <rc t="2" v="444"/>
    </bk>
    <bk>
      <rc t="2" v="445"/>
    </bk>
    <bk>
      <rc t="2" v="446"/>
    </bk>
    <bk>
      <rc t="2" v="447"/>
    </bk>
    <bk>
      <rc t="2" v="448"/>
    </bk>
    <bk>
      <rc t="2" v="449"/>
    </bk>
    <bk>
      <rc t="2" v="450"/>
    </bk>
    <bk>
      <rc t="2" v="451"/>
    </bk>
    <bk>
      <rc t="2" v="452"/>
    </bk>
    <bk>
      <rc t="2" v="453"/>
    </bk>
    <bk>
      <rc t="2" v="454"/>
    </bk>
    <bk>
      <rc t="2" v="455"/>
    </bk>
    <bk>
      <rc t="2" v="456"/>
    </bk>
    <bk>
      <rc t="2" v="457"/>
    </bk>
    <bk>
      <rc t="2" v="458"/>
    </bk>
    <bk>
      <rc t="2" v="459"/>
    </bk>
    <bk>
      <rc t="2" v="460"/>
    </bk>
    <bk>
      <rc t="2" v="461"/>
    </bk>
    <bk>
      <rc t="2" v="462"/>
    </bk>
    <bk>
      <rc t="2" v="463"/>
    </bk>
    <bk>
      <rc t="2" v="464"/>
    </bk>
    <bk>
      <rc t="2" v="465"/>
    </bk>
    <bk>
      <rc t="2" v="466"/>
    </bk>
    <bk>
      <rc t="2" v="467"/>
    </bk>
    <bk>
      <rc t="2" v="468"/>
    </bk>
    <bk>
      <rc t="2" v="469"/>
    </bk>
    <bk>
      <rc t="2" v="470"/>
    </bk>
    <bk>
      <rc t="2" v="471"/>
    </bk>
    <bk>
      <rc t="2" v="472"/>
    </bk>
    <bk>
      <rc t="2" v="473"/>
    </bk>
    <bk>
      <rc t="2" v="474"/>
    </bk>
    <bk>
      <rc t="2" v="475"/>
    </bk>
    <bk>
      <rc t="2" v="476"/>
    </bk>
    <bk>
      <rc t="2" v="477"/>
    </bk>
    <bk>
      <rc t="2" v="478"/>
    </bk>
    <bk>
      <rc t="2" v="479"/>
    </bk>
    <bk>
      <rc t="2" v="480"/>
    </bk>
    <bk>
      <rc t="2" v="481"/>
    </bk>
    <bk>
      <rc t="2" v="482"/>
    </bk>
    <bk>
      <rc t="2" v="483"/>
    </bk>
    <bk>
      <rc t="2" v="484"/>
    </bk>
    <bk>
      <rc t="2" v="485"/>
    </bk>
    <bk>
      <rc t="2" v="486"/>
    </bk>
    <bk>
      <rc t="2" v="487"/>
    </bk>
    <bk>
      <rc t="2" v="488"/>
    </bk>
    <bk>
      <rc t="2" v="489"/>
    </bk>
    <bk>
      <rc t="2" v="490"/>
    </bk>
    <bk>
      <rc t="2" v="491"/>
    </bk>
    <bk>
      <rc t="2" v="492"/>
    </bk>
    <bk>
      <rc t="2" v="493"/>
    </bk>
    <bk>
      <rc t="2" v="494"/>
    </bk>
    <bk>
      <rc t="2" v="495"/>
    </bk>
    <bk>
      <rc t="2" v="496"/>
    </bk>
    <bk>
      <rc t="2" v="497"/>
    </bk>
    <bk>
      <rc t="2" v="498"/>
    </bk>
    <bk>
      <rc t="2" v="499"/>
    </bk>
    <bk>
      <rc t="2" v="500"/>
    </bk>
    <bk>
      <rc t="2" v="501"/>
    </bk>
    <bk>
      <rc t="2" v="502"/>
    </bk>
    <bk>
      <rc t="2" v="503"/>
    </bk>
    <bk>
      <rc t="2" v="504"/>
    </bk>
    <bk>
      <rc t="2" v="505"/>
    </bk>
    <bk>
      <rc t="2" v="506"/>
    </bk>
    <bk>
      <rc t="2" v="507"/>
    </bk>
    <bk>
      <rc t="2" v="508"/>
    </bk>
    <bk>
      <rc t="2" v="509"/>
    </bk>
    <bk>
      <rc t="2" v="510"/>
    </bk>
    <bk>
      <rc t="2" v="511"/>
    </bk>
    <bk>
      <rc t="2" v="512"/>
    </bk>
    <bk>
      <rc t="2" v="513"/>
    </bk>
    <bk>
      <rc t="2" v="514"/>
    </bk>
    <bk>
      <rc t="2" v="515"/>
    </bk>
    <bk>
      <rc t="2" v="516"/>
    </bk>
    <bk>
      <rc t="2" v="517"/>
    </bk>
    <bk>
      <rc t="2" v="518"/>
    </bk>
    <bk>
      <rc t="2" v="519"/>
    </bk>
    <bk>
      <rc t="2" v="520"/>
    </bk>
    <bk>
      <rc t="2" v="521"/>
    </bk>
    <bk>
      <rc t="2" v="522"/>
    </bk>
    <bk>
      <rc t="2" v="523"/>
    </bk>
    <bk>
      <rc t="2" v="524"/>
    </bk>
    <bk>
      <rc t="2" v="525"/>
    </bk>
    <bk>
      <rc t="2" v="526"/>
    </bk>
    <bk>
      <rc t="2" v="527"/>
    </bk>
    <bk>
      <rc t="2" v="528"/>
    </bk>
    <bk>
      <rc t="2" v="529"/>
    </bk>
    <bk>
      <rc t="2" v="530"/>
    </bk>
    <bk>
      <rc t="2" v="531"/>
    </bk>
    <bk>
      <rc t="2" v="532"/>
    </bk>
    <bk>
      <rc t="2" v="533"/>
    </bk>
    <bk>
      <rc t="2" v="534"/>
    </bk>
    <bk>
      <rc t="2" v="535"/>
    </bk>
    <bk>
      <rc t="2" v="536"/>
    </bk>
    <bk>
      <rc t="2" v="537"/>
    </bk>
    <bk>
      <rc t="2" v="538"/>
    </bk>
    <bk>
      <rc t="2" v="539"/>
    </bk>
    <bk>
      <rc t="2" v="540"/>
    </bk>
    <bk>
      <rc t="2" v="541"/>
    </bk>
    <bk>
      <rc t="2" v="542"/>
    </bk>
    <bk>
      <rc t="2" v="543"/>
    </bk>
    <bk>
      <rc t="2" v="544"/>
    </bk>
    <bk>
      <rc t="2" v="545"/>
    </bk>
    <bk>
      <rc t="2" v="546"/>
    </bk>
    <bk>
      <rc t="2" v="547"/>
    </bk>
    <bk>
      <rc t="2" v="548"/>
    </bk>
    <bk>
      <rc t="2" v="549"/>
    </bk>
    <bk>
      <rc t="2" v="550"/>
    </bk>
    <bk>
      <rc t="2" v="551"/>
    </bk>
    <bk>
      <rc t="2" v="552"/>
    </bk>
    <bk>
      <rc t="2" v="553"/>
    </bk>
    <bk>
      <rc t="2" v="554"/>
    </bk>
    <bk>
      <rc t="2" v="555"/>
    </bk>
    <bk>
      <rc t="2" v="556"/>
    </bk>
    <bk>
      <rc t="2" v="557"/>
    </bk>
    <bk>
      <rc t="2" v="558"/>
    </bk>
    <bk>
      <rc t="2" v="559"/>
    </bk>
    <bk>
      <rc t="2" v="560"/>
    </bk>
    <bk>
      <rc t="2" v="561"/>
    </bk>
    <bk>
      <rc t="2" v="562"/>
    </bk>
    <bk>
      <rc t="2" v="563"/>
    </bk>
    <bk>
      <rc t="2" v="564"/>
    </bk>
    <bk>
      <rc t="2" v="565"/>
    </bk>
    <bk>
      <rc t="2" v="566"/>
    </bk>
    <bk>
      <rc t="2" v="567"/>
    </bk>
    <bk>
      <rc t="2" v="568"/>
    </bk>
    <bk>
      <rc t="2" v="569"/>
    </bk>
    <bk>
      <rc t="2" v="570"/>
    </bk>
    <bk>
      <rc t="2" v="571"/>
    </bk>
    <bk>
      <rc t="2" v="572"/>
    </bk>
    <bk>
      <rc t="2" v="573"/>
    </bk>
    <bk>
      <rc t="2" v="574"/>
    </bk>
    <bk>
      <rc t="2" v="575"/>
    </bk>
    <bk>
      <rc t="2" v="576"/>
    </bk>
    <bk>
      <rc t="2" v="577"/>
    </bk>
    <bk>
      <rc t="2" v="578"/>
    </bk>
    <bk>
      <rc t="2" v="579"/>
    </bk>
    <bk>
      <rc t="2" v="580"/>
    </bk>
    <bk>
      <rc t="2" v="581"/>
    </bk>
    <bk>
      <rc t="2" v="582"/>
    </bk>
    <bk>
      <rc t="2" v="583"/>
    </bk>
    <bk>
      <rc t="2" v="584"/>
    </bk>
    <bk>
      <rc t="2" v="585"/>
    </bk>
    <bk>
      <rc t="2" v="586"/>
    </bk>
    <bk>
      <rc t="2" v="587"/>
    </bk>
    <bk>
      <rc t="2" v="588"/>
    </bk>
    <bk>
      <rc t="2" v="589"/>
    </bk>
    <bk>
      <rc t="2" v="590"/>
    </bk>
    <bk>
      <rc t="2" v="591"/>
    </bk>
    <bk>
      <rc t="2" v="592"/>
    </bk>
    <bk>
      <rc t="2" v="593"/>
    </bk>
    <bk>
      <rc t="2" v="594"/>
    </bk>
    <bk>
      <rc t="2" v="595"/>
    </bk>
    <bk>
      <rc t="2" v="596"/>
    </bk>
    <bk>
      <rc t="2" v="597"/>
    </bk>
    <bk>
      <rc t="2" v="598"/>
    </bk>
    <bk>
      <rc t="2" v="599"/>
    </bk>
    <bk>
      <rc t="2" v="600"/>
    </bk>
    <bk>
      <rc t="2" v="601"/>
    </bk>
    <bk>
      <rc t="2" v="602"/>
    </bk>
    <bk>
      <rc t="2" v="603"/>
    </bk>
    <bk>
      <rc t="2" v="604"/>
    </bk>
    <bk>
      <rc t="2" v="605"/>
    </bk>
    <bk>
      <rc t="2" v="606"/>
    </bk>
    <bk>
      <rc t="2" v="607"/>
    </bk>
    <bk>
      <rc t="2" v="608"/>
    </bk>
    <bk>
      <rc t="2" v="609"/>
    </bk>
    <bk>
      <rc t="2" v="610"/>
    </bk>
    <bk>
      <rc t="2" v="611"/>
    </bk>
    <bk>
      <rc t="2" v="612"/>
    </bk>
    <bk>
      <rc t="2" v="613"/>
    </bk>
    <bk>
      <rc t="2" v="614"/>
    </bk>
    <bk>
      <rc t="2" v="615"/>
    </bk>
    <bk>
      <rc t="2" v="616"/>
    </bk>
    <bk>
      <rc t="2" v="617"/>
    </bk>
    <bk>
      <rc t="2" v="618"/>
    </bk>
    <bk>
      <rc t="2" v="619"/>
    </bk>
    <bk>
      <rc t="2" v="620"/>
    </bk>
    <bk>
      <rc t="2" v="621"/>
    </bk>
    <bk>
      <rc t="2" v="622"/>
    </bk>
    <bk>
      <rc t="2" v="623"/>
    </bk>
    <bk>
      <rc t="2" v="624"/>
    </bk>
    <bk>
      <rc t="2" v="625"/>
    </bk>
    <bk>
      <rc t="2" v="626"/>
    </bk>
    <bk>
      <rc t="2" v="627"/>
    </bk>
    <bk>
      <rc t="2" v="628"/>
    </bk>
    <bk>
      <rc t="2" v="629"/>
    </bk>
    <bk>
      <rc t="2" v="630"/>
    </bk>
    <bk>
      <rc t="2" v="631"/>
    </bk>
    <bk>
      <rc t="2" v="632"/>
    </bk>
    <bk>
      <rc t="2" v="633"/>
    </bk>
    <bk>
      <rc t="2" v="634"/>
    </bk>
    <bk>
      <rc t="2" v="635"/>
    </bk>
    <bk>
      <rc t="2" v="636"/>
    </bk>
    <bk>
      <rc t="2" v="637"/>
    </bk>
    <bk>
      <rc t="2" v="638"/>
    </bk>
    <bk>
      <rc t="2" v="639"/>
    </bk>
    <bk>
      <rc t="2" v="640"/>
    </bk>
    <bk>
      <rc t="2" v="641"/>
    </bk>
    <bk>
      <rc t="2" v="642"/>
    </bk>
    <bk>
      <rc t="2" v="643"/>
    </bk>
    <bk>
      <rc t="2" v="644"/>
    </bk>
    <bk>
      <rc t="2" v="645"/>
    </bk>
    <bk>
      <rc t="2" v="646"/>
    </bk>
    <bk>
      <rc t="2" v="647"/>
    </bk>
    <bk>
      <rc t="2" v="648"/>
    </bk>
    <bk>
      <rc t="2" v="649"/>
    </bk>
    <bk>
      <rc t="2" v="650"/>
    </bk>
    <bk>
      <rc t="2" v="651"/>
    </bk>
    <bk>
      <rc t="2" v="652"/>
    </bk>
    <bk>
      <rc t="2" v="653"/>
    </bk>
    <bk>
      <rc t="2" v="654"/>
    </bk>
    <bk>
      <rc t="2" v="655"/>
    </bk>
    <bk>
      <rc t="2" v="656"/>
    </bk>
    <bk>
      <rc t="2" v="657"/>
    </bk>
    <bk>
      <rc t="2" v="658"/>
    </bk>
    <bk>
      <rc t="2" v="659"/>
    </bk>
    <bk>
      <rc t="2" v="660"/>
    </bk>
    <bk>
      <rc t="2" v="661"/>
    </bk>
    <bk>
      <rc t="2" v="662"/>
    </bk>
    <bk>
      <rc t="2" v="663"/>
    </bk>
    <bk>
      <rc t="2" v="664"/>
    </bk>
    <bk>
      <rc t="2" v="665"/>
    </bk>
    <bk>
      <rc t="2" v="666"/>
    </bk>
    <bk>
      <rc t="2" v="667"/>
    </bk>
    <bk>
      <rc t="2" v="668"/>
    </bk>
    <bk>
      <rc t="2" v="669"/>
    </bk>
    <bk>
      <rc t="2" v="670"/>
    </bk>
    <bk>
      <rc t="2" v="671"/>
    </bk>
    <bk>
      <rc t="2" v="672"/>
    </bk>
    <bk>
      <rc t="2" v="673"/>
    </bk>
    <bk>
      <rc t="2" v="674"/>
    </bk>
    <bk>
      <rc t="2" v="675"/>
    </bk>
    <bk>
      <rc t="2" v="676"/>
    </bk>
    <bk>
      <rc t="2" v="677"/>
    </bk>
    <bk>
      <rc t="2" v="678"/>
    </bk>
    <bk>
      <rc t="2" v="679"/>
    </bk>
    <bk>
      <rc t="2" v="680"/>
    </bk>
    <bk>
      <rc t="2" v="681"/>
    </bk>
    <bk>
      <rc t="2" v="682"/>
    </bk>
    <bk>
      <rc t="2" v="683"/>
    </bk>
    <bk>
      <rc t="2" v="684"/>
    </bk>
    <bk>
      <rc t="2" v="685"/>
    </bk>
    <bk>
      <rc t="2" v="686"/>
    </bk>
    <bk>
      <rc t="2" v="687"/>
    </bk>
    <bk>
      <rc t="2" v="688"/>
    </bk>
    <bk>
      <rc t="2" v="689"/>
    </bk>
    <bk>
      <rc t="2" v="690"/>
    </bk>
    <bk>
      <rc t="2" v="691"/>
    </bk>
    <bk>
      <rc t="2" v="692"/>
    </bk>
    <bk>
      <rc t="2" v="693"/>
    </bk>
    <bk>
      <rc t="2" v="694"/>
    </bk>
    <bk>
      <rc t="2" v="695"/>
    </bk>
    <bk>
      <rc t="2" v="696"/>
    </bk>
    <bk>
      <rc t="2" v="697"/>
    </bk>
    <bk>
      <rc t="2" v="698"/>
    </bk>
    <bk>
      <rc t="2" v="699"/>
    </bk>
    <bk>
      <rc t="2" v="700"/>
    </bk>
    <bk>
      <rc t="2" v="701"/>
    </bk>
    <bk>
      <rc t="2" v="702"/>
    </bk>
    <bk>
      <rc t="2" v="703"/>
    </bk>
    <bk>
      <rc t="2" v="704"/>
    </bk>
    <bk>
      <rc t="2" v="705"/>
    </bk>
    <bk>
      <rc t="2" v="706"/>
    </bk>
    <bk>
      <rc t="2" v="707"/>
    </bk>
    <bk>
      <rc t="2" v="708"/>
    </bk>
    <bk>
      <rc t="2" v="709"/>
    </bk>
    <bk>
      <rc t="2" v="710"/>
    </bk>
    <bk>
      <rc t="2" v="711"/>
    </bk>
    <bk>
      <rc t="2" v="712"/>
    </bk>
    <bk>
      <rc t="2" v="713"/>
    </bk>
    <bk>
      <rc t="2" v="714"/>
    </bk>
    <bk>
      <rc t="2" v="715"/>
    </bk>
    <bk>
      <rc t="2" v="716"/>
    </bk>
    <bk>
      <rc t="2" v="717"/>
    </bk>
    <bk>
      <rc t="2" v="718"/>
    </bk>
    <bk>
      <rc t="2" v="719"/>
    </bk>
    <bk>
      <rc t="2" v="720"/>
    </bk>
    <bk>
      <rc t="2" v="721"/>
    </bk>
    <bk>
      <rc t="2" v="722"/>
    </bk>
    <bk>
      <rc t="2" v="723"/>
    </bk>
    <bk>
      <rc t="2" v="724"/>
    </bk>
    <bk>
      <rc t="2" v="725"/>
    </bk>
    <bk>
      <rc t="2" v="726"/>
    </bk>
    <bk>
      <rc t="2" v="727"/>
    </bk>
    <bk>
      <rc t="2" v="728"/>
    </bk>
    <bk>
      <rc t="2" v="729"/>
    </bk>
    <bk>
      <rc t="2" v="730"/>
    </bk>
    <bk>
      <rc t="2" v="731"/>
    </bk>
    <bk>
      <rc t="2" v="732"/>
    </bk>
    <bk>
      <rc t="2" v="733"/>
    </bk>
    <bk>
      <rc t="2" v="734"/>
    </bk>
    <bk>
      <rc t="2" v="735"/>
    </bk>
    <bk>
      <rc t="2" v="736"/>
    </bk>
    <bk>
      <rc t="2" v="737"/>
    </bk>
    <bk>
      <rc t="2" v="738"/>
    </bk>
    <bk>
      <rc t="2" v="739"/>
    </bk>
    <bk>
      <rc t="2" v="740"/>
    </bk>
    <bk>
      <rc t="2" v="741"/>
    </bk>
    <bk>
      <rc t="2" v="742"/>
    </bk>
    <bk>
      <rc t="2" v="743"/>
    </bk>
    <bk>
      <rc t="2" v="744"/>
    </bk>
    <bk>
      <rc t="2" v="745"/>
    </bk>
    <bk>
      <rc t="2" v="746"/>
    </bk>
    <bk>
      <rc t="2" v="747"/>
    </bk>
    <bk>
      <rc t="2" v="748"/>
    </bk>
    <bk>
      <rc t="2" v="749"/>
    </bk>
    <bk>
      <rc t="2" v="750"/>
    </bk>
    <bk>
      <rc t="2" v="751"/>
    </bk>
    <bk>
      <rc t="2" v="752"/>
    </bk>
    <bk>
      <rc t="2" v="753"/>
    </bk>
    <bk>
      <rc t="2" v="754"/>
    </bk>
    <bk>
      <rc t="2" v="755"/>
    </bk>
    <bk>
      <rc t="2" v="756"/>
    </bk>
    <bk>
      <rc t="2" v="757"/>
    </bk>
    <bk>
      <rc t="2" v="758"/>
    </bk>
    <bk>
      <rc t="2" v="759"/>
    </bk>
    <bk>
      <rc t="2" v="760"/>
    </bk>
    <bk>
      <rc t="2" v="761"/>
    </bk>
    <bk>
      <rc t="2" v="762"/>
    </bk>
    <bk>
      <rc t="2" v="763"/>
    </bk>
    <bk>
      <rc t="2" v="764"/>
    </bk>
    <bk>
      <rc t="2" v="765"/>
    </bk>
    <bk>
      <rc t="2" v="766"/>
    </bk>
    <bk>
      <rc t="2" v="767"/>
    </bk>
    <bk>
      <rc t="2" v="768"/>
    </bk>
    <bk>
      <rc t="2" v="769"/>
    </bk>
    <bk>
      <rc t="2" v="770"/>
    </bk>
    <bk>
      <rc t="2" v="771"/>
    </bk>
    <bk>
      <rc t="2" v="772"/>
    </bk>
    <bk>
      <rc t="2" v="773"/>
    </bk>
    <bk>
      <rc t="2" v="774"/>
    </bk>
    <bk>
      <rc t="2" v="775"/>
    </bk>
    <bk>
      <rc t="2" v="776"/>
    </bk>
    <bk>
      <rc t="2" v="777"/>
    </bk>
    <bk>
      <rc t="2" v="778"/>
    </bk>
    <bk>
      <rc t="2" v="779"/>
    </bk>
    <bk>
      <rc t="2" v="780"/>
    </bk>
    <bk>
      <rc t="2" v="781"/>
    </bk>
    <bk>
      <rc t="2" v="782"/>
    </bk>
    <bk>
      <rc t="2" v="783"/>
    </bk>
    <bk>
      <rc t="2" v="784"/>
    </bk>
    <bk>
      <rc t="2" v="785"/>
    </bk>
    <bk>
      <rc t="2" v="786"/>
    </bk>
    <bk>
      <rc t="2" v="787"/>
    </bk>
    <bk>
      <rc t="2" v="788"/>
    </bk>
    <bk>
      <rc t="2" v="789"/>
    </bk>
    <bk>
      <rc t="2" v="790"/>
    </bk>
    <bk>
      <rc t="2" v="791"/>
    </bk>
    <bk>
      <rc t="2" v="792"/>
    </bk>
    <bk>
      <rc t="2" v="793"/>
    </bk>
    <bk>
      <rc t="2" v="794"/>
    </bk>
    <bk>
      <rc t="2" v="795"/>
    </bk>
    <bk>
      <rc t="2" v="796"/>
    </bk>
    <bk>
      <rc t="2" v="797"/>
    </bk>
    <bk>
      <rc t="2" v="798"/>
    </bk>
    <bk>
      <rc t="2" v="799"/>
    </bk>
    <bk>
      <rc t="2" v="800"/>
    </bk>
    <bk>
      <rc t="2" v="801"/>
    </bk>
    <bk>
      <rc t="2" v="802"/>
    </bk>
    <bk>
      <rc t="2" v="803"/>
    </bk>
    <bk>
      <rc t="2" v="804"/>
    </bk>
    <bk>
      <rc t="2" v="805"/>
    </bk>
    <bk>
      <rc t="2" v="806"/>
    </bk>
    <bk>
      <rc t="2" v="807"/>
    </bk>
    <bk>
      <rc t="2" v="808"/>
    </bk>
    <bk>
      <rc t="2" v="809"/>
    </bk>
    <bk>
      <rc t="2" v="810"/>
    </bk>
    <bk>
      <rc t="2" v="811"/>
    </bk>
    <bk>
      <rc t="2" v="812"/>
    </bk>
    <bk>
      <rc t="2" v="813"/>
    </bk>
    <bk>
      <rc t="2" v="814"/>
    </bk>
    <bk>
      <rc t="2" v="815"/>
    </bk>
    <bk>
      <rc t="2" v="816"/>
    </bk>
    <bk>
      <rc t="2" v="817"/>
    </bk>
    <bk>
      <rc t="2" v="818"/>
    </bk>
    <bk>
      <rc t="2" v="819"/>
    </bk>
    <bk>
      <rc t="2" v="820"/>
    </bk>
    <bk>
      <rc t="2" v="821"/>
    </bk>
    <bk>
      <rc t="2" v="822"/>
    </bk>
    <bk>
      <rc t="2" v="823"/>
    </bk>
    <bk>
      <rc t="2" v="824"/>
    </bk>
    <bk>
      <rc t="2" v="825"/>
    </bk>
    <bk>
      <rc t="2" v="826"/>
    </bk>
    <bk>
      <rc t="2" v="827"/>
    </bk>
    <bk>
      <rc t="2" v="828"/>
    </bk>
    <bk>
      <rc t="2" v="829"/>
    </bk>
    <bk>
      <rc t="2" v="830"/>
    </bk>
    <bk>
      <rc t="2" v="831"/>
    </bk>
    <bk>
      <rc t="2" v="832"/>
    </bk>
    <bk>
      <rc t="2" v="833"/>
    </bk>
    <bk>
      <rc t="2" v="834"/>
    </bk>
    <bk>
      <rc t="2" v="835"/>
    </bk>
    <bk>
      <rc t="2" v="836"/>
    </bk>
    <bk>
      <rc t="2" v="837"/>
    </bk>
    <bk>
      <rc t="2" v="838"/>
    </bk>
    <bk>
      <rc t="2" v="839"/>
    </bk>
    <bk>
      <rc t="2" v="840"/>
    </bk>
    <bk>
      <rc t="2" v="841"/>
    </bk>
    <bk>
      <rc t="2" v="842"/>
    </bk>
    <bk>
      <rc t="2" v="843"/>
    </bk>
    <bk>
      <rc t="2" v="844"/>
    </bk>
    <bk>
      <rc t="2" v="845"/>
    </bk>
    <bk>
      <rc t="2" v="846"/>
    </bk>
    <bk>
      <rc t="2" v="847"/>
    </bk>
    <bk>
      <rc t="2" v="848"/>
    </bk>
    <bk>
      <rc t="2" v="849"/>
    </bk>
    <bk>
      <rc t="2" v="850"/>
    </bk>
    <bk>
      <rc t="2" v="851"/>
    </bk>
    <bk>
      <rc t="2" v="852"/>
    </bk>
    <bk>
      <rc t="2" v="853"/>
    </bk>
    <bk>
      <rc t="2" v="854"/>
    </bk>
    <bk>
      <rc t="2" v="855"/>
    </bk>
    <bk>
      <rc t="2" v="856"/>
    </bk>
    <bk>
      <rc t="2" v="857"/>
    </bk>
    <bk>
      <rc t="2" v="858"/>
    </bk>
    <bk>
      <rc t="2" v="859"/>
    </bk>
    <bk>
      <rc t="2" v="860"/>
    </bk>
    <bk>
      <rc t="2" v="861"/>
    </bk>
    <bk>
      <rc t="2" v="862"/>
    </bk>
    <bk>
      <rc t="2" v="863"/>
    </bk>
    <bk>
      <rc t="2" v="864"/>
    </bk>
    <bk>
      <rc t="2" v="865"/>
    </bk>
    <bk>
      <rc t="2" v="866"/>
    </bk>
    <bk>
      <rc t="2" v="867"/>
    </bk>
    <bk>
      <rc t="2" v="868"/>
    </bk>
    <bk>
      <rc t="2" v="869"/>
    </bk>
    <bk>
      <rc t="2" v="870"/>
    </bk>
    <bk>
      <rc t="2" v="871"/>
    </bk>
    <bk>
      <rc t="2" v="872"/>
    </bk>
    <bk>
      <rc t="2" v="873"/>
    </bk>
    <bk>
      <rc t="2" v="874"/>
    </bk>
    <bk>
      <rc t="2" v="875"/>
    </bk>
    <bk>
      <rc t="2" v="876"/>
    </bk>
    <bk>
      <rc t="2" v="877"/>
    </bk>
    <bk>
      <rc t="2" v="878"/>
    </bk>
    <bk>
      <rc t="2" v="879"/>
    </bk>
    <bk>
      <rc t="2" v="880"/>
    </bk>
    <bk>
      <rc t="2" v="881"/>
    </bk>
    <bk>
      <rc t="2" v="882"/>
    </bk>
    <bk>
      <rc t="2" v="883"/>
    </bk>
    <bk>
      <rc t="2" v="884"/>
    </bk>
    <bk>
      <rc t="2" v="885"/>
    </bk>
    <bk>
      <rc t="2" v="886"/>
    </bk>
    <bk>
      <rc t="2" v="887"/>
    </bk>
    <bk>
      <rc t="2" v="888"/>
    </bk>
    <bk>
      <rc t="2" v="889"/>
    </bk>
    <bk>
      <rc t="2" v="890"/>
    </bk>
    <bk>
      <rc t="2" v="891"/>
    </bk>
    <bk>
      <rc t="2" v="892"/>
    </bk>
    <bk>
      <rc t="2" v="893"/>
    </bk>
    <bk>
      <rc t="2" v="894"/>
    </bk>
  </valueMetadata>
</metadata>
</file>

<file path=xl/sharedStrings.xml><?xml version="1.0" encoding="utf-8"?>
<sst xmlns="http://schemas.openxmlformats.org/spreadsheetml/2006/main" count="1530" uniqueCount="956">
  <si>
    <t>World Boss</t>
  </si>
  <si>
    <t>boss1</t>
  </si>
  <si>
    <t>Book Region</t>
  </si>
  <si>
    <t>natlan</t>
  </si>
  <si>
    <t>Weekly Boss</t>
  </si>
  <si>
    <t>newboss</t>
  </si>
  <si>
    <t>Enter values on green cells only; the rest are automated.</t>
  </si>
  <si>
    <t>Released Version</t>
  </si>
  <si>
    <t>Book Name 1</t>
  </si>
  <si>
    <t>b1</t>
  </si>
  <si>
    <t>Weekly Boss Material 1</t>
  </si>
  <si>
    <t>mat1</t>
  </si>
  <si>
    <t>Book Name 2</t>
  </si>
  <si>
    <t>b2</t>
  </si>
  <si>
    <t>Weekly Boss Material 2</t>
  </si>
  <si>
    <t>mat2</t>
  </si>
  <si>
    <t>Book Name 3</t>
  </si>
  <si>
    <t>b3</t>
  </si>
  <si>
    <t>Weekly Boss Material 3</t>
  </si>
  <si>
    <t>mat3</t>
  </si>
  <si>
    <t>Ascension Flower</t>
  </si>
  <si>
    <t>newflower</t>
  </si>
  <si>
    <t>Ascension Mob</t>
  </si>
  <si>
    <t>asdfasdf</t>
  </si>
  <si>
    <t>Name</t>
  </si>
  <si>
    <t>Sethos</t>
  </si>
  <si>
    <t># enter character name</t>
  </si>
  <si>
    <t>Ascension Mob Mats 1*</t>
  </si>
  <si>
    <t>asdfa</t>
  </si>
  <si>
    <t>Element</t>
  </si>
  <si>
    <t># select from dropdown menu</t>
  </si>
  <si>
    <t>Ascension Mob Mats 2*</t>
  </si>
  <si>
    <t># enter the version of the game when character was released</t>
  </si>
  <si>
    <t>Ascension Mob Mats 3*</t>
  </si>
  <si>
    <t>asdfdasfsd</t>
  </si>
  <si>
    <t>Solitary Suanni</t>
  </si>
  <si>
    <t>Talent Book</t>
  </si>
  <si>
    <t>Praxis</t>
  </si>
  <si>
    <t>[Scaramouche] Shouki no Kami</t>
  </si>
  <si>
    <t>Weekly Boss Mats</t>
  </si>
  <si>
    <t>Daka's Bell</t>
  </si>
  <si>
    <t>Trishiraite</t>
  </si>
  <si>
    <t>Ascension Stone</t>
  </si>
  <si>
    <t># value will show up after typing "element"</t>
  </si>
  <si>
    <t>The Eremites</t>
  </si>
  <si>
    <t># after filling up the form correctly,</t>
  </si>
  <si>
    <t xml:space="preserve">   click "Add New Character" button.</t>
  </si>
  <si>
    <t xml:space="preserve">   a new row will be created at the </t>
  </si>
  <si>
    <t xml:space="preserve">   bottom of "Summary" sheet.</t>
  </si>
  <si>
    <t>Levels</t>
  </si>
  <si>
    <t>Mora</t>
  </si>
  <si>
    <t>HerosWits</t>
  </si>
  <si>
    <t>LocalSpecialties</t>
  </si>
  <si>
    <t>Silver</t>
  </si>
  <si>
    <t>Fragment</t>
  </si>
  <si>
    <t>Chunk</t>
  </si>
  <si>
    <t>Gemstone</t>
  </si>
  <si>
    <t>1* Mats</t>
  </si>
  <si>
    <t>2* Mats</t>
  </si>
  <si>
    <t>3* Mats</t>
  </si>
  <si>
    <t>Boss Mats</t>
  </si>
  <si>
    <t>Talent Level</t>
  </si>
  <si>
    <t>2* Books</t>
  </si>
  <si>
    <t>3* Books</t>
  </si>
  <si>
    <t>4* Books</t>
  </si>
  <si>
    <t>Crown</t>
  </si>
  <si>
    <t>Experience</t>
  </si>
  <si>
    <t>Character</t>
  </si>
  <si>
    <t>World Boss Materials</t>
  </si>
  <si>
    <t>Weekly Boss Materials</t>
  </si>
  <si>
    <t>Monster Materials</t>
  </si>
  <si>
    <t>Talent Books</t>
  </si>
  <si>
    <t>Local Specialties [Flowers]</t>
  </si>
  <si>
    <t>Gems</t>
  </si>
  <si>
    <t>Misc.</t>
  </si>
  <si>
    <t>Billets</t>
  </si>
  <si>
    <t>Elements</t>
  </si>
  <si>
    <t>Weapons</t>
  </si>
  <si>
    <t>Weapon Materials</t>
  </si>
  <si>
    <t>Icon</t>
  </si>
  <si>
    <t>Weapon Type</t>
  </si>
  <si>
    <t>TalentBook</t>
  </si>
  <si>
    <t>Monster Mats</t>
  </si>
  <si>
    <t>Boss Name</t>
  </si>
  <si>
    <t>Mob Name</t>
  </si>
  <si>
    <t>HerosWit</t>
  </si>
  <si>
    <t>Albedo</t>
  </si>
  <si>
    <t>Anemo Hypostases</t>
  </si>
  <si>
    <t>HurricaneSeed</t>
  </si>
  <si>
    <t>[Dvalin] Stormterror</t>
  </si>
  <si>
    <t>DvalinsPlume</t>
  </si>
  <si>
    <t>Hilichurl</t>
  </si>
  <si>
    <t>DamagedMask</t>
  </si>
  <si>
    <t>TeachingsofBallad</t>
  </si>
  <si>
    <t>AmakumoFruit</t>
  </si>
  <si>
    <t>sword</t>
  </si>
  <si>
    <t>anemo</t>
  </si>
  <si>
    <t>Absolution</t>
  </si>
  <si>
    <t>TileofDecarabiansTower</t>
  </si>
  <si>
    <t>MysticEnhancementOre</t>
  </si>
  <si>
    <t>Alhaitham</t>
  </si>
  <si>
    <t>Cryo Regisvines</t>
  </si>
  <si>
    <t>HoarfrostCore</t>
  </si>
  <si>
    <t>DvalinsClaw</t>
  </si>
  <si>
    <t>StainedMask</t>
  </si>
  <si>
    <t>GuidetoBallad</t>
  </si>
  <si>
    <t>BerylConch</t>
  </si>
  <si>
    <t>BrilliantDiamondFragment</t>
  </si>
  <si>
    <t>CrownofInsight</t>
  </si>
  <si>
    <t>claymore</t>
  </si>
  <si>
    <t>geo</t>
  </si>
  <si>
    <t>Akuoumaru</t>
  </si>
  <si>
    <t>DebrisofDecarabiansCity</t>
  </si>
  <si>
    <t>FineEnhancementOre</t>
  </si>
  <si>
    <t>Bennett</t>
  </si>
  <si>
    <t>Electro Hypostases</t>
  </si>
  <si>
    <t>LightningPrism</t>
  </si>
  <si>
    <t>DvalinsSigh</t>
  </si>
  <si>
    <t>OminousMask</t>
  </si>
  <si>
    <t>PhilosophiesofBallad</t>
  </si>
  <si>
    <t>CallaLily</t>
  </si>
  <si>
    <t>BrilliantDiamondChunk</t>
  </si>
  <si>
    <t>resin</t>
  </si>
  <si>
    <t>polearm</t>
  </si>
  <si>
    <t>electro</t>
  </si>
  <si>
    <t>AlleyHunter</t>
  </si>
  <si>
    <t>FragmentofDecarabiansEpic</t>
  </si>
  <si>
    <t>EnhancementOre</t>
  </si>
  <si>
    <t>Chiori</t>
  </si>
  <si>
    <t>Geo Hypostases</t>
  </si>
  <si>
    <t>BasaltPillar</t>
  </si>
  <si>
    <t>[Boreas] Wolf of the North</t>
  </si>
  <si>
    <t>TailofBoreas</t>
  </si>
  <si>
    <t>Hilichurl Shooter</t>
  </si>
  <si>
    <t>FirmArrowhead</t>
  </si>
  <si>
    <t>TeachingsofResistance</t>
  </si>
  <si>
    <t>Cecilia</t>
  </si>
  <si>
    <t>BrilliantDiamondGemstone</t>
  </si>
  <si>
    <t>characters</t>
  </si>
  <si>
    <t>bow</t>
  </si>
  <si>
    <t>dendro</t>
  </si>
  <si>
    <t>AmenomaKageuchi</t>
  </si>
  <si>
    <t>ScatteredPieceofDecarabiansDream</t>
  </si>
  <si>
    <t>Clorinde</t>
  </si>
  <si>
    <t>Oceanid</t>
  </si>
  <si>
    <t>CleansingHeart</t>
  </si>
  <si>
    <t>SpiritLocketofBoreas</t>
  </si>
  <si>
    <t>SharpArrowhead</t>
  </si>
  <si>
    <t>GuidetoResistance</t>
  </si>
  <si>
    <t>ClearwaterJade</t>
  </si>
  <si>
    <t>inventory</t>
  </si>
  <si>
    <t>catalyst</t>
  </si>
  <si>
    <t>hydro</t>
  </si>
  <si>
    <t>AmosBow</t>
  </si>
  <si>
    <t>BorealWolfsMilkTooth</t>
  </si>
  <si>
    <t>Furina</t>
  </si>
  <si>
    <t>Pyro Regisvines</t>
  </si>
  <si>
    <t>EverflameSeed</t>
  </si>
  <si>
    <t>RingofBoreas</t>
  </si>
  <si>
    <t>WeatheredArrowhead</t>
  </si>
  <si>
    <t>PhilosophiesofResistance</t>
  </si>
  <si>
    <t>CorLapis</t>
  </si>
  <si>
    <t>AgnidusAgateFragment</t>
  </si>
  <si>
    <t>options</t>
  </si>
  <si>
    <t>pyro</t>
  </si>
  <si>
    <t>AquaSimulacra</t>
  </si>
  <si>
    <t>BorealWolfsCrackedTooth</t>
  </si>
  <si>
    <t>Jean</t>
  </si>
  <si>
    <t>Primo Geovishaps</t>
  </si>
  <si>
    <t>JuvenileJade</t>
  </si>
  <si>
    <t>[Childe] Golden House</t>
  </si>
  <si>
    <t>ShardofaFoulLegacy</t>
  </si>
  <si>
    <t>Samachurl</t>
  </si>
  <si>
    <t>DiviningScroll</t>
  </si>
  <si>
    <t>TeachingsofFreedom</t>
  </si>
  <si>
    <t>CrystalMarrow</t>
  </si>
  <si>
    <t>AgnidusAgateChunk</t>
  </si>
  <si>
    <t>weapons</t>
  </si>
  <si>
    <t>cryo</t>
  </si>
  <si>
    <t>AquilaFavonia</t>
  </si>
  <si>
    <t>BorealWolfsBrokenFang</t>
  </si>
  <si>
    <t>KaedeharaKazuha</t>
  </si>
  <si>
    <t>Cryo Hypostases</t>
  </si>
  <si>
    <t>CrystallineBloom</t>
  </si>
  <si>
    <t>ShadowoftheWarrior</t>
  </si>
  <si>
    <t>SealedScroll</t>
  </si>
  <si>
    <t>GuidetoFreedom</t>
  </si>
  <si>
    <t>DandelionSeed</t>
  </si>
  <si>
    <t>AgnidusAgateGemstone</t>
  </si>
  <si>
    <t>AThousandFloatingDreams</t>
  </si>
  <si>
    <t>BorealWolfsNostalgia</t>
  </si>
  <si>
    <t>Kaeya</t>
  </si>
  <si>
    <t>Maguu Kenki</t>
  </si>
  <si>
    <t>MarionetteCore</t>
  </si>
  <si>
    <t>TuskofMonocerosCaeli</t>
  </si>
  <si>
    <t>ForbiddenCurseScroll</t>
  </si>
  <si>
    <t>PhilosophiesofFreedom</t>
  </si>
  <si>
    <t>Dendrobium</t>
  </si>
  <si>
    <t>BalladoftheBoundlessBlue</t>
  </si>
  <si>
    <t>FettersoftheDandelionGladiator</t>
  </si>
  <si>
    <t>KamisatoAyaka</t>
  </si>
  <si>
    <t>Perpetual Mecha. Arrays</t>
  </si>
  <si>
    <t>PerpetualHeart</t>
  </si>
  <si>
    <t>Azhdaha</t>
  </si>
  <si>
    <t>DragonLordsCrown</t>
  </si>
  <si>
    <t>Slime</t>
  </si>
  <si>
    <t>SlimeCondensate</t>
  </si>
  <si>
    <t>TeachingsofGold</t>
  </si>
  <si>
    <t>FluorescentFungus</t>
  </si>
  <si>
    <t>VarunadaLazuriteFragment</t>
  </si>
  <si>
    <t>BalladoftheFjords</t>
  </si>
  <si>
    <t>ChainsoftheDandelionGladiator</t>
  </si>
  <si>
    <t>KamisatoAyato</t>
  </si>
  <si>
    <t>Pyro Hypostases</t>
  </si>
  <si>
    <t>SmolderingPearl</t>
  </si>
  <si>
    <t>GildedScale</t>
  </si>
  <si>
    <t>SlimeSecretions</t>
  </si>
  <si>
    <t>GuidetoGold</t>
  </si>
  <si>
    <t>GlazeLily</t>
  </si>
  <si>
    <t>VarunadaLazuriteChunk</t>
  </si>
  <si>
    <t>BeaconoftheReedSea</t>
  </si>
  <si>
    <t>ShacklesoftheDandelionGladiator</t>
  </si>
  <si>
    <t>Keqing</t>
  </si>
  <si>
    <t>Hydro Hypostases</t>
  </si>
  <si>
    <t>DewofRepudiation</t>
  </si>
  <si>
    <t>BloodjadeBranch</t>
  </si>
  <si>
    <t>SlimeConcentrate</t>
  </si>
  <si>
    <t>PhilosophiesofGold</t>
  </si>
  <si>
    <t>HennaBerry</t>
  </si>
  <si>
    <t>VarunadaLazuriteGemstone</t>
  </si>
  <si>
    <t>BlackcliffAgate</t>
  </si>
  <si>
    <t>DreamoftheDandelionGladiator</t>
  </si>
  <si>
    <t>Kirara</t>
  </si>
  <si>
    <t>Thunder Manif.</t>
  </si>
  <si>
    <t>StormBeads</t>
  </si>
  <si>
    <t>Signora</t>
  </si>
  <si>
    <t>HellfireButterfly</t>
  </si>
  <si>
    <t>Treasure Hoarder</t>
  </si>
  <si>
    <t>TreasureHoarderInsignia</t>
  </si>
  <si>
    <t>TeachingsofProsperity</t>
  </si>
  <si>
    <t>JueyunChili</t>
  </si>
  <si>
    <t>BlackcliffLongsword</t>
  </si>
  <si>
    <t>LuminousSandsfromGuyun</t>
  </si>
  <si>
    <t>KukiShinobu</t>
  </si>
  <si>
    <t>Golden Wolflords</t>
  </si>
  <si>
    <t>RiftbornRegalia</t>
  </si>
  <si>
    <t>AshenHeart</t>
  </si>
  <si>
    <t>SilverRavenInsignia</t>
  </si>
  <si>
    <t>GuidetoProsperity</t>
  </si>
  <si>
    <t>KalpalataLotus</t>
  </si>
  <si>
    <t>NagadusEmeraldFragment</t>
  </si>
  <si>
    <t>BlackcliffPole</t>
  </si>
  <si>
    <t>LustrousStonefromGuyun</t>
  </si>
  <si>
    <t>Layla</t>
  </si>
  <si>
    <t>Bathysmal Vishap Herds</t>
  </si>
  <si>
    <t>DragonheirsFalseFin</t>
  </si>
  <si>
    <t>MoltenMoment</t>
  </si>
  <si>
    <t>GoldenRavenInsignia</t>
  </si>
  <si>
    <t>PhilosophiesofProsperity</t>
  </si>
  <si>
    <t>LakelightLily</t>
  </si>
  <si>
    <t>NagadusEmeraldChunk</t>
  </si>
  <si>
    <t>BlackcliffSlasher</t>
  </si>
  <si>
    <t>RelicfromGuyun</t>
  </si>
  <si>
    <t>Lynette</t>
  </si>
  <si>
    <t>Ruin Serpents</t>
  </si>
  <si>
    <t>RunicFang</t>
  </si>
  <si>
    <t>[Raiden] Guardian of Eternity</t>
  </si>
  <si>
    <t>MudraoftheMaleficGeneral</t>
  </si>
  <si>
    <t>Fatui</t>
  </si>
  <si>
    <t>RecruitsInsignia</t>
  </si>
  <si>
    <t>TeachingsofDiligence</t>
  </si>
  <si>
    <t>LumidouceBell</t>
  </si>
  <si>
    <t>NagadusEmeraldGemstone</t>
  </si>
  <si>
    <t>BlackcliffWarbow</t>
  </si>
  <si>
    <t>DivineBodyfromGuyun</t>
  </si>
  <si>
    <t>Nilou</t>
  </si>
  <si>
    <t>Electro Regisvines</t>
  </si>
  <si>
    <t>ThunderclapFruitcore</t>
  </si>
  <si>
    <t>TheMeaningofAeons</t>
  </si>
  <si>
    <t>SergeantsInsignia</t>
  </si>
  <si>
    <t>GuidetoDiligence</t>
  </si>
  <si>
    <t>Lumitoile</t>
  </si>
  <si>
    <t>BlackTassel</t>
  </si>
  <si>
    <t>MistVeiledLeadElixir</t>
  </si>
  <si>
    <t>Qiqi</t>
  </si>
  <si>
    <t>Jadeplume Terrorshroom</t>
  </si>
  <si>
    <t>MajesticHookedBeak</t>
  </si>
  <si>
    <t>TearsoftheCalamitousGod</t>
  </si>
  <si>
    <t>LieutenantsInsignia</t>
  </si>
  <si>
    <t>PhilosophiesofDiligence</t>
  </si>
  <si>
    <t>MourningFlower</t>
  </si>
  <si>
    <t>VajradaAmethystFragment</t>
  </si>
  <si>
    <t>BloodtaintedGreatsword</t>
  </si>
  <si>
    <t>MistVeiledMercuryElixir</t>
  </si>
  <si>
    <t>TravelerAnemo</t>
  </si>
  <si>
    <t>Aeonblight Drakes</t>
  </si>
  <si>
    <t>PerpetualCaliber</t>
  </si>
  <si>
    <t>PuppetStrings</t>
  </si>
  <si>
    <t>Whopper­flower</t>
  </si>
  <si>
    <t>WhopperflowerNectar</t>
  </si>
  <si>
    <t>TeachingsofTransience</t>
  </si>
  <si>
    <t>NakuWeed</t>
  </si>
  <si>
    <t>VajradaAmethystChunk</t>
  </si>
  <si>
    <t>CalamityQueller</t>
  </si>
  <si>
    <t>MistVeiledGoldElixir</t>
  </si>
  <si>
    <t>TravelerGeo</t>
  </si>
  <si>
    <t>ASIMON</t>
  </si>
  <si>
    <t>LightGuidingTetrahedron</t>
  </si>
  <si>
    <t>DakasBell</t>
  </si>
  <si>
    <t>ShimmeringNectar</t>
  </si>
  <si>
    <t>GuidetoTransience</t>
  </si>
  <si>
    <t>NilotpalaLotus</t>
  </si>
  <si>
    <t>VajradaAmethystGemstone</t>
  </si>
  <si>
    <t>CashflowSupervision</t>
  </si>
  <si>
    <t>MistVeiledPrimoElixir</t>
  </si>
  <si>
    <t>TravelerElectro</t>
  </si>
  <si>
    <t>Dendro Hypostases</t>
  </si>
  <si>
    <t>QuelledCreeper</t>
  </si>
  <si>
    <t>MirrorofMushin</t>
  </si>
  <si>
    <t>EnergyNectar</t>
  </si>
  <si>
    <t>PhilosophiesofTransience</t>
  </si>
  <si>
    <t>NoctilucousJade</t>
  </si>
  <si>
    <t>CinnabarSpindle</t>
  </si>
  <si>
    <t>GrainofAerosiderite</t>
  </si>
  <si>
    <t>TravelerDendro</t>
  </si>
  <si>
    <t>Setekh Wenut</t>
  </si>
  <si>
    <t>PseudoStamens</t>
  </si>
  <si>
    <t>Guardian of Apep's Oasis</t>
  </si>
  <si>
    <t>PrimordialGreenbloom</t>
  </si>
  <si>
    <t>Nobushi</t>
  </si>
  <si>
    <t>OldHandguard</t>
  </si>
  <si>
    <t>TeachingsofLight</t>
  </si>
  <si>
    <t>Onikabuto</t>
  </si>
  <si>
    <t>VayudaTurquoiseFragment</t>
  </si>
  <si>
    <t>Cloudforged</t>
  </si>
  <si>
    <t>PieceofAerosiderite</t>
  </si>
  <si>
    <t>TravelerHydro</t>
  </si>
  <si>
    <t>Iniquitous Baptists</t>
  </si>
  <si>
    <t>EvergloomRing</t>
  </si>
  <si>
    <t>Everamber</t>
  </si>
  <si>
    <t>KageuchiHandguard</t>
  </si>
  <si>
    <t>GuidetoLight</t>
  </si>
  <si>
    <t>Padisarah</t>
  </si>
  <si>
    <t>VayudaTurquoiseChunk</t>
  </si>
  <si>
    <t>CompoundBow</t>
  </si>
  <si>
    <t>BitofAerosiderite</t>
  </si>
  <si>
    <t>TravelerPyro</t>
  </si>
  <si>
    <t>Coppelia</t>
  </si>
  <si>
    <t>ArtificedSpareClockworkComponentCoppelia</t>
  </si>
  <si>
    <t>WorldspanFern</t>
  </si>
  <si>
    <t>FamedHandguard</t>
  </si>
  <si>
    <t>PhilosophiesofLight</t>
  </si>
  <si>
    <t>PhilanemoMushroom</t>
  </si>
  <si>
    <t>VayudaTurquoiseGemstone</t>
  </si>
  <si>
    <t>CoolSteel</t>
  </si>
  <si>
    <t>ChunkofAerosiderite</t>
  </si>
  <si>
    <t>TravelerCryo</t>
  </si>
  <si>
    <t>Coppelius</t>
  </si>
  <si>
    <t>ArtificedSpareClockworkComponentCoppelius</t>
  </si>
  <si>
    <t>All-Devouring Narwhal</t>
  </si>
  <si>
    <t>LightlessSilkString</t>
  </si>
  <si>
    <t>Specters</t>
  </si>
  <si>
    <t>SpectralHusk</t>
  </si>
  <si>
    <t>TeachingsofElegance</t>
  </si>
  <si>
    <t>Qingxin</t>
  </si>
  <si>
    <t>CranesEchoingCall</t>
  </si>
  <si>
    <t>CoralBranchofaDistantSea</t>
  </si>
  <si>
    <t>Xingqiu</t>
  </si>
  <si>
    <t>Emperor of Fire and Iron</t>
  </si>
  <si>
    <t>EmperorsResolution</t>
  </si>
  <si>
    <t>LightlessEyeoftheMaelstrom</t>
  </si>
  <si>
    <t>SpectralHeart</t>
  </si>
  <si>
    <t>GuidetoElegance</t>
  </si>
  <si>
    <t>RainbowRose</t>
  </si>
  <si>
    <t>ShivadaJadeFragment</t>
  </si>
  <si>
    <t>CrescentPike</t>
  </si>
  <si>
    <t>JeweledBranchofaDistantSea</t>
  </si>
  <si>
    <t>Aloy</t>
  </si>
  <si>
    <t>Experimental Field Generators</t>
  </si>
  <si>
    <t>TourbillonDevice</t>
  </si>
  <si>
    <t>LightlessMass</t>
  </si>
  <si>
    <t>SpectralNucleus</t>
  </si>
  <si>
    <t>PhilosophiesofElegance</t>
  </si>
  <si>
    <t>RomaritimeFlower</t>
  </si>
  <si>
    <t>ShivadaJadeChunk</t>
  </si>
  <si>
    <t>CrimsonMoonsSemblance</t>
  </si>
  <si>
    <t>JadeBranchofaDistantSea</t>
  </si>
  <si>
    <t>Amber</t>
  </si>
  <si>
    <t>Millennial Pearl Seahorses</t>
  </si>
  <si>
    <t>FontemerUnihorn</t>
  </si>
  <si>
    <t>The Knave</t>
  </si>
  <si>
    <t>SilkenFeather</t>
  </si>
  <si>
    <t>Fungi</t>
  </si>
  <si>
    <t>FungalSpores</t>
  </si>
  <si>
    <t>TeachingsofIngenuity</t>
  </si>
  <si>
    <t>RukkhashavaMushrooms</t>
  </si>
  <si>
    <t>ShivadaJadeGemstone</t>
  </si>
  <si>
    <t>DarkIronSword</t>
  </si>
  <si>
    <t>GoldenBranchofaDistantSea</t>
  </si>
  <si>
    <t>Collei</t>
  </si>
  <si>
    <t>Hydro Tulpas</t>
  </si>
  <si>
    <t>WaterThatFailedToTranscend</t>
  </si>
  <si>
    <t>DenialandJudgment</t>
  </si>
  <si>
    <t>LuminescentPollen</t>
  </si>
  <si>
    <t>GuidetoIngenuity</t>
  </si>
  <si>
    <t>SakuraBloom</t>
  </si>
  <si>
    <t>Deathmatch</t>
  </si>
  <si>
    <t>NarukamisWisdom</t>
  </si>
  <si>
    <t>Diona</t>
  </si>
  <si>
    <t>CloudseamScale</t>
  </si>
  <si>
    <t>FadingCandle</t>
  </si>
  <si>
    <t>CrystallineCystDust</t>
  </si>
  <si>
    <t>PhilosophiesofIngenuity</t>
  </si>
  <si>
    <t>SandGreasePupa</t>
  </si>
  <si>
    <t>PrithivaTopazFragment</t>
  </si>
  <si>
    <t>DebateClub</t>
  </si>
  <si>
    <t>NarukamisJoy</t>
  </si>
  <si>
    <t>Faruzan</t>
  </si>
  <si>
    <t>Legatus Golem</t>
  </si>
  <si>
    <t>FragmentofaGoldenMelody</t>
  </si>
  <si>
    <t>FadedRedSatin</t>
  </si>
  <si>
    <t>TeachingsofAdmonition</t>
  </si>
  <si>
    <t>SangoPearl</t>
  </si>
  <si>
    <t>PrithivaTopazChunk</t>
  </si>
  <si>
    <t>DialoguesoftheDesertSages</t>
  </si>
  <si>
    <t>NarukamisAffection</t>
  </si>
  <si>
    <t>Fischl</t>
  </si>
  <si>
    <t>TrimmedRedSilk</t>
  </si>
  <si>
    <t>GuidetoAdmonition</t>
  </si>
  <si>
    <t>Scarab</t>
  </si>
  <si>
    <t>PrithivaTopazGemstone</t>
  </si>
  <si>
    <t>DodocoTales</t>
  </si>
  <si>
    <t>NarukamisValor</t>
  </si>
  <si>
    <t>Ganyu</t>
  </si>
  <si>
    <t>RichRedBrocade</t>
  </si>
  <si>
    <t>PhilosophiesofAdmonition</t>
  </si>
  <si>
    <t>SeaGanoderma</t>
  </si>
  <si>
    <t>DragonsBane</t>
  </si>
  <si>
    <t>MaskoftheWickedLieutenant</t>
  </si>
  <si>
    <t>Gorou</t>
  </si>
  <si>
    <t>Fontemer Aberrant</t>
  </si>
  <si>
    <t>TransoceanicPearl</t>
  </si>
  <si>
    <t>TeachingsofPraxis</t>
  </si>
  <si>
    <t>SilkFlower</t>
  </si>
  <si>
    <t>DragonspineSpear</t>
  </si>
  <si>
    <t>MaskoftheTigersBite</t>
  </si>
  <si>
    <t>KujouSara</t>
  </si>
  <si>
    <t>TransoceanicChunk</t>
  </si>
  <si>
    <t>GuidetoPraxis</t>
  </si>
  <si>
    <t>SmallLampGrass</t>
  </si>
  <si>
    <t>ElegyfortheEnd</t>
  </si>
  <si>
    <t>MaskoftheOneHorned</t>
  </si>
  <si>
    <t>Lyney</t>
  </si>
  <si>
    <t>XenochromaticCrystal</t>
  </si>
  <si>
    <t>PhilosophiesofPraxis</t>
  </si>
  <si>
    <t>SpringoftheFirstDewdrop</t>
  </si>
  <si>
    <t>EmeraldOrb</t>
  </si>
  <si>
    <t>MaskoftheKijin</t>
  </si>
  <si>
    <t>Clockwork Meka</t>
  </si>
  <si>
    <t>MeshingGear</t>
  </si>
  <si>
    <t>TeachingsofJustice</t>
  </si>
  <si>
    <t>Starconch</t>
  </si>
  <si>
    <t>EndoftheLine</t>
  </si>
  <si>
    <t>CopperTalismanoftheForestDew</t>
  </si>
  <si>
    <t>Tartaglia</t>
  </si>
  <si>
    <t>MechanicalSpurGear</t>
  </si>
  <si>
    <t>GuidetoJustice</t>
  </si>
  <si>
    <t>SubdetectionUnit</t>
  </si>
  <si>
    <t>EngulfingLightning</t>
  </si>
  <si>
    <t>IronTalismanoftheForestDew</t>
  </si>
  <si>
    <t>Tighnari</t>
  </si>
  <si>
    <t>ArtificedDynamicGear</t>
  </si>
  <si>
    <t>PhilosophiesofJustice</t>
  </si>
  <si>
    <t>EverlastingMoonglow</t>
  </si>
  <si>
    <t>SilverTalismanoftheForestDew</t>
  </si>
  <si>
    <t>Venti</t>
  </si>
  <si>
    <t>TeachingsofOrder</t>
  </si>
  <si>
    <t>Valberry</t>
  </si>
  <si>
    <t>EyeofPerception</t>
  </si>
  <si>
    <t>GoldenTalismanoftheForestDew</t>
  </si>
  <si>
    <t>Yelan</t>
  </si>
  <si>
    <t>GuidetoOrder</t>
  </si>
  <si>
    <t>Violetgrass</t>
  </si>
  <si>
    <t>FadingTwilight</t>
  </si>
  <si>
    <t>OasisGardensReminiscence</t>
  </si>
  <si>
    <t>Yoimiya</t>
  </si>
  <si>
    <t>PhilosophiesofOrder</t>
  </si>
  <si>
    <t>WindwheelAster</t>
  </si>
  <si>
    <t>FavoniusCodex</t>
  </si>
  <si>
    <t>OasisGardensKindness</t>
  </si>
  <si>
    <t>AratakiItto</t>
  </si>
  <si>
    <t>TeachingsofEquity</t>
  </si>
  <si>
    <t>Wolfhook</t>
  </si>
  <si>
    <t>FavoniusGreatsword</t>
  </si>
  <si>
    <t>OasisGardensMourning</t>
  </si>
  <si>
    <t>Beidou</t>
  </si>
  <si>
    <t>GuidetoEquity</t>
  </si>
  <si>
    <t>FavoniusLance</t>
  </si>
  <si>
    <t>OasisGardensTruth</t>
  </si>
  <si>
    <t>Chongyun</t>
  </si>
  <si>
    <t>PhilosophiesofEquity</t>
  </si>
  <si>
    <t>FavoniusSword</t>
  </si>
  <si>
    <t>EchoofScorchingMight</t>
  </si>
  <si>
    <t>Dehya</t>
  </si>
  <si>
    <t>FavoniusWarbow</t>
  </si>
  <si>
    <t>RemnantGlowofScorchingMight</t>
  </si>
  <si>
    <t>Diluc</t>
  </si>
  <si>
    <t>FerrousShadow</t>
  </si>
  <si>
    <t>DreamofScorchingMight</t>
  </si>
  <si>
    <t>Dori</t>
  </si>
  <si>
    <t>FesteringDesire</t>
  </si>
  <si>
    <t>OldenDaysofScorchingMight</t>
  </si>
  <si>
    <t>Eula</t>
  </si>
  <si>
    <t>FilletBlade</t>
  </si>
  <si>
    <t>FragmentofanAncientChord</t>
  </si>
  <si>
    <t>Freminet</t>
  </si>
  <si>
    <t>FinaleoftheDeep</t>
  </si>
  <si>
    <t>ChapterofanAncientChord</t>
  </si>
  <si>
    <t>Gaming</t>
  </si>
  <si>
    <t>FleuveCendreFerryman</t>
  </si>
  <si>
    <t>MovementofanAncientChord</t>
  </si>
  <si>
    <t>Kaveh</t>
  </si>
  <si>
    <t>FlowingPurity</t>
  </si>
  <si>
    <t>EchoofanAncientChord</t>
  </si>
  <si>
    <t>Navia</t>
  </si>
  <si>
    <t>ForestRegalia</t>
  </si>
  <si>
    <t>DrossofPureSacredDewdrop</t>
  </si>
  <si>
    <t>Noelle</t>
  </si>
  <si>
    <t>FreedomSworn</t>
  </si>
  <si>
    <t>SublimationofPureSacredDewdrop</t>
  </si>
  <si>
    <t>Razor</t>
  </si>
  <si>
    <t>Frostbearer</t>
  </si>
  <si>
    <t>SpringofPureSacredDewdrop</t>
  </si>
  <si>
    <t>Sayu</t>
  </si>
  <si>
    <t>FruitofFulfillment</t>
  </si>
  <si>
    <t>EssenceofPureSacredDewdrop</t>
  </si>
  <si>
    <t>Xinyan</t>
  </si>
  <si>
    <t>HakushinRing</t>
  </si>
  <si>
    <t>BrokenGobletofthePristineSea</t>
  </si>
  <si>
    <t>Arlecchino</t>
  </si>
  <si>
    <t>Halberd</t>
  </si>
  <si>
    <t>WineGobletofthePristineSea</t>
  </si>
  <si>
    <t>Baizhu</t>
  </si>
  <si>
    <t>Hamayumi</t>
  </si>
  <si>
    <t>SilverGobletofthePristineSea</t>
  </si>
  <si>
    <t>Barbara</t>
  </si>
  <si>
    <t>HaranGeppakuFutsu</t>
  </si>
  <si>
    <t>GoldenGobletofthePristineSea</t>
  </si>
  <si>
    <t>Charlotte</t>
  </si>
  <si>
    <t>HarbingerofDawn</t>
  </si>
  <si>
    <t>Klee</t>
  </si>
  <si>
    <t>HuntersPath</t>
  </si>
  <si>
    <t>Lisa</t>
  </si>
  <si>
    <t>IbisPiercer</t>
  </si>
  <si>
    <t>Mona</t>
  </si>
  <si>
    <t>IronSting</t>
  </si>
  <si>
    <t>Nahida</t>
  </si>
  <si>
    <t>JadefallsSplendor</t>
  </si>
  <si>
    <t>Neuvillette</t>
  </si>
  <si>
    <t>KagotsurubeIsshin</t>
  </si>
  <si>
    <t>Ningguang</t>
  </si>
  <si>
    <t>KagurasVerity</t>
  </si>
  <si>
    <t>SangonomiyaKokomi</t>
  </si>
  <si>
    <t>KatsuragikiriNagamasa</t>
  </si>
  <si>
    <t>ShikanoinHeizou</t>
  </si>
  <si>
    <t>KeyofKhajNisut</t>
  </si>
  <si>
    <t>Sucrose</t>
  </si>
  <si>
    <t>KingsSquire</t>
  </si>
  <si>
    <t>Wanderer</t>
  </si>
  <si>
    <t>KitainCrossSpear</t>
  </si>
  <si>
    <t>Wriothesley</t>
  </si>
  <si>
    <t>LightofFoliarIncision</t>
  </si>
  <si>
    <t>Xianyun</t>
  </si>
  <si>
    <t>LionsRoar</t>
  </si>
  <si>
    <t>YaeMiko</t>
  </si>
  <si>
    <t>LithicBlade</t>
  </si>
  <si>
    <t>Yanfei</t>
  </si>
  <si>
    <t>LithicSpear</t>
  </si>
  <si>
    <t>Candace</t>
  </si>
  <si>
    <t>LostPrayertotheSacredWinds</t>
  </si>
  <si>
    <t>Chevreuse</t>
  </si>
  <si>
    <t>LuxuriousSeaLord</t>
  </si>
  <si>
    <t>Cyno</t>
  </si>
  <si>
    <t>MagicGuide</t>
  </si>
  <si>
    <t>HuTao</t>
  </si>
  <si>
    <t>MailedFlower</t>
  </si>
  <si>
    <t>Mika</t>
  </si>
  <si>
    <t>MakhairaAquamarine</t>
  </si>
  <si>
    <t>RaidenShogun</t>
  </si>
  <si>
    <t>MappaMare</t>
  </si>
  <si>
    <t>Rosaria</t>
  </si>
  <si>
    <t>MemoryofDust</t>
  </si>
  <si>
    <t>Shenhe</t>
  </si>
  <si>
    <t>Messenger</t>
  </si>
  <si>
    <t>Thoma</t>
  </si>
  <si>
    <t>MissiveWindspear</t>
  </si>
  <si>
    <t>Xiangling</t>
  </si>
  <si>
    <t>MistsplitterReforged</t>
  </si>
  <si>
    <t>Xiao</t>
  </si>
  <si>
    <t>MitternachtsWaltz</t>
  </si>
  <si>
    <t>Yaoyao</t>
  </si>
  <si>
    <t>Moonpiercer</t>
  </si>
  <si>
    <t>YunJin</t>
  </si>
  <si>
    <t>MouunsMoon</t>
  </si>
  <si>
    <t>Zhongli</t>
  </si>
  <si>
    <t>OathswornEye</t>
  </si>
  <si>
    <t>OtherworldlyStory</t>
  </si>
  <si>
    <t>PolarStar</t>
  </si>
  <si>
    <t>PortablePowerSaw</t>
  </si>
  <si>
    <t>Predator</t>
  </si>
  <si>
    <t>PrimordialJadeCutter</t>
  </si>
  <si>
    <t>PrimordialJadeWingedSpear</t>
  </si>
  <si>
    <t>ProspectorsDrill</t>
  </si>
  <si>
    <t>PrototypeAmber</t>
  </si>
  <si>
    <t>PrototypeArchaic</t>
  </si>
  <si>
    <t>PrototypeCrescent</t>
  </si>
  <si>
    <t>PrototypeRancour</t>
  </si>
  <si>
    <t>PrototypeStarglitter</t>
  </si>
  <si>
    <t>Rainslasher</t>
  </si>
  <si>
    <t>RangeGauge</t>
  </si>
  <si>
    <t>RavenBow</t>
  </si>
  <si>
    <t>RecurveBow</t>
  </si>
  <si>
    <t>RedhornStonethresher</t>
  </si>
  <si>
    <t>RightfulReward</t>
  </si>
  <si>
    <t>RoyalBow</t>
  </si>
  <si>
    <t>RoyalGreatsword</t>
  </si>
  <si>
    <t>RoyalGrimoire</t>
  </si>
  <si>
    <t>RoyalLongsword</t>
  </si>
  <si>
    <t>RoyalSpear</t>
  </si>
  <si>
    <t>Rust</t>
  </si>
  <si>
    <t>SacrificialBow</t>
  </si>
  <si>
    <t>SacrificialFragments</t>
  </si>
  <si>
    <t>SacrificialGreatsword</t>
  </si>
  <si>
    <t>SacrificialJade</t>
  </si>
  <si>
    <t>SacrificialSword</t>
  </si>
  <si>
    <t>SapwoodBlade</t>
  </si>
  <si>
    <t>ScionoftheBlazingSun</t>
  </si>
  <si>
    <t>SerpentSpine</t>
  </si>
  <si>
    <t>SharpshootersOath</t>
  </si>
  <si>
    <t>SkyriderGreatsword</t>
  </si>
  <si>
    <t>SkyriderSword</t>
  </si>
  <si>
    <t>SkywardAtlas</t>
  </si>
  <si>
    <t>SkywardBlade</t>
  </si>
  <si>
    <t>SkywardHarp</t>
  </si>
  <si>
    <t>SkywardPride</t>
  </si>
  <si>
    <t>SkywardSpine</t>
  </si>
  <si>
    <t>Slingshot</t>
  </si>
  <si>
    <t>SnowTombedStarsilver</t>
  </si>
  <si>
    <t>SolarPearl</t>
  </si>
  <si>
    <t>SongofBrokenPines</t>
  </si>
  <si>
    <t>SongofStillness</t>
  </si>
  <si>
    <t>SplendorofTranquilWaters</t>
  </si>
  <si>
    <t>StaffofHoma</t>
  </si>
  <si>
    <t>StaffoftheScarletSands</t>
  </si>
  <si>
    <t>SummitShaper</t>
  </si>
  <si>
    <t>SwordofDescension</t>
  </si>
  <si>
    <t>SwordofNarzissenkreuz</t>
  </si>
  <si>
    <t>TalkingStick</t>
  </si>
  <si>
    <t>TheAlleyFlash</t>
  </si>
  <si>
    <t>TheBell</t>
  </si>
  <si>
    <t>TheBlackSword</t>
  </si>
  <si>
    <t>TheCatch</t>
  </si>
  <si>
    <t>TheDockhandsAssistant</t>
  </si>
  <si>
    <t>TheFirstGreatMagic</t>
  </si>
  <si>
    <t>TheFlute</t>
  </si>
  <si>
    <t>TheStringless</t>
  </si>
  <si>
    <t>TheUnforged</t>
  </si>
  <si>
    <t>TheViridescentHunt</t>
  </si>
  <si>
    <t>TheWidsith</t>
  </si>
  <si>
    <t>ThrillingTalesofDragonSlayers</t>
  </si>
  <si>
    <t>ThunderingPulse</t>
  </si>
  <si>
    <t>TidalShadow</t>
  </si>
  <si>
    <t>TomeoftheEternalFlow</t>
  </si>
  <si>
    <t>ToukabouShigure</t>
  </si>
  <si>
    <t>TravelersHandySword</t>
  </si>
  <si>
    <t>TulaytullahsRemembrance</t>
  </si>
  <si>
    <t>TwinNephrite</t>
  </si>
  <si>
    <t>UltimateOverlordsMegaMagicSword</t>
  </si>
  <si>
    <t>UrakuMisugiri</t>
  </si>
  <si>
    <t>Verdict</t>
  </si>
  <si>
    <t>VortexVanquisher</t>
  </si>
  <si>
    <t>WanderingEvenstar</t>
  </si>
  <si>
    <t>WavebreakersFin</t>
  </si>
  <si>
    <t>Whiteblind</t>
  </si>
  <si>
    <t>WhiteIronGreatsword</t>
  </si>
  <si>
    <t>WhiteTassel</t>
  </si>
  <si>
    <t>WindblumeOde</t>
  </si>
  <si>
    <t>WineandSong</t>
  </si>
  <si>
    <t>WolfFang</t>
  </si>
  <si>
    <t>WolfsGravestone</t>
  </si>
  <si>
    <t>XiphosMoonlight</t>
  </si>
  <si>
    <t>Inventory</t>
  </si>
  <si>
    <t>Quantity</t>
  </si>
  <si>
    <t>Genshin Resource Calculator</t>
  </si>
  <si>
    <t>Current Character Levels</t>
  </si>
  <si>
    <t>Targeted Character Levels</t>
  </si>
  <si>
    <t>{for SUM formula} please keep AA:AI Columns hidden</t>
  </si>
  <si>
    <t>{for SUM formula} please keep AM:AO Columns hidden</t>
  </si>
  <si>
    <t>Ascension Materials</t>
  </si>
  <si>
    <t>Ascension Stones</t>
  </si>
  <si>
    <t>Monster Drops for Ascension &amp; Talent</t>
  </si>
  <si>
    <t>{for SUM formula} please keep BG:BO Columns hidden</t>
  </si>
  <si>
    <t>Total Mob Materials</t>
  </si>
  <si>
    <t>Mora Calculation</t>
  </si>
  <si>
    <t>Sl No.</t>
  </si>
  <si>
    <t>NameHelper</t>
  </si>
  <si>
    <t>Version Released</t>
  </si>
  <si>
    <t>Level</t>
  </si>
  <si>
    <t>NA</t>
  </si>
  <si>
    <t>Skill</t>
  </si>
  <si>
    <t>Burst</t>
  </si>
  <si>
    <t>Hero's Wits</t>
  </si>
  <si>
    <t>Material</t>
  </si>
  <si>
    <t>Need to Farm</t>
  </si>
  <si>
    <t>Book</t>
  </si>
  <si>
    <t>4* Book</t>
  </si>
  <si>
    <t>3* Book</t>
  </si>
  <si>
    <t>2* Book</t>
  </si>
  <si>
    <t>NA 4*</t>
  </si>
  <si>
    <t>NA 3*</t>
  </si>
  <si>
    <t>NA 2*</t>
  </si>
  <si>
    <t>Skill 4*</t>
  </si>
  <si>
    <t>Skill 3*</t>
  </si>
  <si>
    <t>Skill 2*</t>
  </si>
  <si>
    <t>Burst 4*</t>
  </si>
  <si>
    <t>Burst 3*</t>
  </si>
  <si>
    <t>Burst 2*</t>
  </si>
  <si>
    <t>Local Specialties</t>
  </si>
  <si>
    <t>Stone Type</t>
  </si>
  <si>
    <t>Material Type</t>
  </si>
  <si>
    <t>3*1</t>
  </si>
  <si>
    <t>2*1</t>
  </si>
  <si>
    <t>1*1</t>
  </si>
  <si>
    <t>3*2</t>
  </si>
  <si>
    <t>2*2</t>
  </si>
  <si>
    <t>1*2</t>
  </si>
  <si>
    <t>3*3</t>
  </si>
  <si>
    <t>2*3</t>
  </si>
  <si>
    <t>1*3</t>
  </si>
  <si>
    <t>Ascension
Cost</t>
  </si>
  <si>
    <t>Talent Cost
(NA)</t>
  </si>
  <si>
    <t>Talent Cost
(Skill)</t>
  </si>
  <si>
    <t>Talent Cost
(Burst)</t>
  </si>
  <si>
    <t>Total
Cost</t>
  </si>
  <si>
    <t>Arataki Itto</t>
  </si>
  <si>
    <t>Hu Tao</t>
  </si>
  <si>
    <t>Kamisato Ayaka</t>
  </si>
  <si>
    <t>Kamisato Ayato</t>
  </si>
  <si>
    <t>Kazuha</t>
  </si>
  <si>
    <t>Kujou Sara</t>
  </si>
  <si>
    <t>Kuki Shinobu</t>
  </si>
  <si>
    <t>Raiden Shogun</t>
  </si>
  <si>
    <t>Sangonomiya Kokomi</t>
  </si>
  <si>
    <t>Shikanoin Heizou</t>
  </si>
  <si>
    <t>Traveler</t>
  </si>
  <si>
    <t>Yae Miko</t>
  </si>
  <si>
    <t>Yoimia</t>
  </si>
  <si>
    <t>Yun Jin</t>
  </si>
  <si>
    <t>Total</t>
  </si>
  <si>
    <t>Version</t>
  </si>
  <si>
    <t>Mats Needed</t>
  </si>
  <si>
    <t>Mats Acquired</t>
  </si>
  <si>
    <t>Remaining Mats</t>
  </si>
  <si>
    <t>Estimated Time Calculations</t>
  </si>
  <si>
    <t>Resin Replenishing Time</t>
  </si>
  <si>
    <t>1 per 8 minutes</t>
  </si>
  <si>
    <t>Daily Resin</t>
  </si>
  <si>
    <t>Resins</t>
  </si>
  <si>
    <t>Boss Reward Collection Cost</t>
  </si>
  <si>
    <t>Daily Boss Reward Collection</t>
  </si>
  <si>
    <t>Times</t>
  </si>
  <si>
    <t>Boss Mats Rewards per Clear (Approx)</t>
  </si>
  <si>
    <t>Mats</t>
  </si>
  <si>
    <t>Daily Mats Collection (Approx)</t>
  </si>
  <si>
    <t>Days Needed for "Remaining Mats" Collection</t>
  </si>
  <si>
    <t>Days</t>
  </si>
  <si>
    <t>Total Resin Needed</t>
  </si>
  <si>
    <t>#these calculations are not 100% accurate</t>
  </si>
  <si>
    <t>Talent Books Calculations</t>
  </si>
  <si>
    <t>Books Acquired</t>
  </si>
  <si>
    <t>Remaining Books</t>
  </si>
  <si>
    <t>4*</t>
  </si>
  <si>
    <t>3*</t>
  </si>
  <si>
    <t>2*</t>
  </si>
  <si>
    <t>Mondstadt</t>
  </si>
  <si>
    <t>Liyue</t>
  </si>
  <si>
    <t>Inazuma</t>
  </si>
  <si>
    <t>Sumeru</t>
  </si>
  <si>
    <t>Fontain</t>
  </si>
  <si>
    <t>Experiment with 180 Resins</t>
  </si>
  <si>
    <t>1 / 8 min</t>
  </si>
  <si>
    <t>4 Star Materials Drop</t>
  </si>
  <si>
    <t>3 Star Materials Drop</t>
  </si>
  <si>
    <t>2 Star Materials Drop</t>
  </si>
  <si>
    <t>1st Clear</t>
  </si>
  <si>
    <t>Domain Reward Collection Cost</t>
  </si>
  <si>
    <t>2nd Clear</t>
  </si>
  <si>
    <t>Daily Domain Reward Collection</t>
  </si>
  <si>
    <t>3rd Clear</t>
  </si>
  <si>
    <t>Domain Mats Rewards per Clear (Approx)</t>
  </si>
  <si>
    <t>4th Clear</t>
  </si>
  <si>
    <t>5th Clear</t>
  </si>
  <si>
    <t>6th Clear</t>
  </si>
  <si>
    <t>Average Days Needed</t>
  </si>
  <si>
    <t>7th Clear</t>
  </si>
  <si>
    <t>8th Clear</t>
  </si>
  <si>
    <t>9th Clear</t>
  </si>
  <si>
    <t>Weekly Boss Material</t>
  </si>
  <si>
    <t>Weekly Boss Reward Collection</t>
  </si>
  <si>
    <t>Weekly Mats Collection (Approx)</t>
  </si>
  <si>
    <t>Weeks Needed for "Remaining Mats" Collection</t>
  </si>
  <si>
    <t>Weeks</t>
  </si>
  <si>
    <t>In Days</t>
  </si>
  <si>
    <t>Ascension Mob Materials</t>
  </si>
  <si>
    <t>Flowers Needed</t>
  </si>
  <si>
    <t>Flowers Acquired</t>
  </si>
  <si>
    <t>Remaining Flowers</t>
  </si>
  <si>
    <t>Stone Name</t>
  </si>
  <si>
    <t>Stones Acquired</t>
  </si>
  <si>
    <t>Remaining Stones</t>
  </si>
  <si>
    <t>Amakumo Fruit</t>
  </si>
  <si>
    <t>Beryl Conch</t>
  </si>
  <si>
    <t>Calla Lily</t>
  </si>
  <si>
    <t>Clearwater Jade</t>
  </si>
  <si>
    <t>Cor Lapis</t>
  </si>
  <si>
    <t>Crystal Marrow</t>
  </si>
  <si>
    <t>Dandelion Seed</t>
  </si>
  <si>
    <t>Fluorescent Fungus</t>
  </si>
  <si>
    <t>Glaze Lily</t>
  </si>
  <si>
    <t>Henna Berry</t>
  </si>
  <si>
    <t>Jueyun Chili</t>
  </si>
  <si>
    <t>Kalpalata Lotus</t>
  </si>
  <si>
    <t>Lakelight Lily</t>
  </si>
  <si>
    <t>Lumidouce Bell</t>
  </si>
  <si>
    <t>Mourning Flower</t>
  </si>
  <si>
    <t>Naku Weed</t>
  </si>
  <si>
    <t>Nilotpala Lotus</t>
  </si>
  <si>
    <t>Noctilucous Jade</t>
  </si>
  <si>
    <t>Philanemo Mushroom</t>
  </si>
  <si>
    <t>Rainbow Rose</t>
  </si>
  <si>
    <t>Romaritime Flower</t>
  </si>
  <si>
    <t>Rukkhashava Mushrooms</t>
  </si>
  <si>
    <t>Sakura Bloom</t>
  </si>
  <si>
    <t>Sand Grease Pupa</t>
  </si>
  <si>
    <t>Sango Pearl</t>
  </si>
  <si>
    <t>Sea Ganoderma</t>
  </si>
  <si>
    <t>Silk Flower</t>
  </si>
  <si>
    <t>Small Lamp Grass</t>
  </si>
  <si>
    <t>Spring of the First Dewdrop</t>
  </si>
  <si>
    <t>Subdetection Unit</t>
  </si>
  <si>
    <t>Windwheel Aster</t>
  </si>
  <si>
    <t>ballad</t>
  </si>
  <si>
    <t>resistance</t>
  </si>
  <si>
    <t>freedom</t>
  </si>
  <si>
    <t>gold</t>
  </si>
  <si>
    <t>prosperity</t>
  </si>
  <si>
    <t>transience</t>
  </si>
  <si>
    <t>light</t>
  </si>
  <si>
    <t>elegance</t>
  </si>
  <si>
    <t>ingenuity</t>
  </si>
  <si>
    <t>admonition</t>
  </si>
  <si>
    <t>praxis</t>
  </si>
  <si>
    <t>justice</t>
  </si>
  <si>
    <t>order</t>
  </si>
  <si>
    <t>equity</t>
  </si>
  <si>
    <t>Need to farm</t>
  </si>
  <si>
    <t>diligence</t>
  </si>
  <si>
    <t>2* Book2</t>
  </si>
  <si>
    <t>2* Book3</t>
  </si>
  <si>
    <t>2* Need</t>
  </si>
  <si>
    <t>4* Need</t>
  </si>
  <si>
    <t>3* Need</t>
  </si>
  <si>
    <t>2* Need3</t>
  </si>
  <si>
    <t>2* Need2</t>
  </si>
  <si>
    <t>3* Book2</t>
  </si>
  <si>
    <t>3* Need2</t>
  </si>
  <si>
    <t>4* Book2</t>
  </si>
  <si>
    <t>4* Need2</t>
  </si>
  <si>
    <t>3* Book3</t>
  </si>
  <si>
    <t>3* Need3</t>
  </si>
  <si>
    <t>4* Book3</t>
  </si>
  <si>
    <t>4* Need3</t>
  </si>
  <si>
    <t>HelperName</t>
  </si>
  <si>
    <t>Link to Interactive Map</t>
  </si>
  <si>
    <t>Need to Farm2</t>
  </si>
  <si>
    <t>Need to Farm3</t>
  </si>
  <si>
    <t>Need to Farm4</t>
  </si>
  <si>
    <t>Need to Farm5</t>
  </si>
  <si>
    <t>Need to Farm6</t>
  </si>
  <si>
    <t>BrilliantDiamond</t>
  </si>
  <si>
    <t>AgnidusAgate</t>
  </si>
  <si>
    <t>VarunadaLazurite</t>
  </si>
  <si>
    <t>NagadusEmerald</t>
  </si>
  <si>
    <t>VajradaAmethyst</t>
  </si>
  <si>
    <t>VayudaTurquoise</t>
  </si>
  <si>
    <t>ShivadaJade</t>
  </si>
  <si>
    <t>PrithivaTopaz</t>
  </si>
  <si>
    <t>BrilliantDiamondSilver</t>
  </si>
  <si>
    <t>AgnidusAgateSilver</t>
  </si>
  <si>
    <t>VarunadaLazuriteSilver</t>
  </si>
  <si>
    <t>NagadusEmeraldSilver</t>
  </si>
  <si>
    <t>VajradaAmethystSilver</t>
  </si>
  <si>
    <t>VayudaTurquoiseSilver</t>
  </si>
  <si>
    <t>ShivadaJadeSilver</t>
  </si>
  <si>
    <t>PrithivaTopazSilver</t>
  </si>
  <si>
    <t>Gemstone2</t>
  </si>
  <si>
    <t>Chunk6</t>
  </si>
  <si>
    <t>Need to Farm210</t>
  </si>
  <si>
    <t>Fragment11</t>
  </si>
  <si>
    <t>Need to Farm312</t>
  </si>
  <si>
    <t>Silver13</t>
  </si>
  <si>
    <t>Need to Farm414</t>
  </si>
  <si>
    <t>Gemstone3</t>
  </si>
  <si>
    <t>Chunk7</t>
  </si>
  <si>
    <t>Need to Farm211</t>
  </si>
  <si>
    <t>Fragment12</t>
  </si>
  <si>
    <t>Need to Farm313</t>
  </si>
  <si>
    <t>Silver14</t>
  </si>
  <si>
    <t>Need to Farm415</t>
  </si>
  <si>
    <t>Specialty</t>
  </si>
  <si>
    <t>Column1</t>
  </si>
  <si>
    <t>Need1</t>
  </si>
  <si>
    <t>Need3</t>
  </si>
  <si>
    <t>3* Mats2</t>
  </si>
  <si>
    <t>Acquired1</t>
  </si>
  <si>
    <t>Acquired12</t>
  </si>
  <si>
    <t>Acquired13</t>
  </si>
  <si>
    <t>2* Mats2</t>
  </si>
  <si>
    <t>1* Mats2</t>
  </si>
  <si>
    <t>3* Mats3</t>
  </si>
  <si>
    <t>2* Mats3</t>
  </si>
  <si>
    <t>1* Mats3</t>
  </si>
  <si>
    <t>Remaining1</t>
  </si>
  <si>
    <t>Remaining2</t>
  </si>
  <si>
    <t>Remaining3</t>
  </si>
  <si>
    <t>3*Icon</t>
  </si>
  <si>
    <t>2*Icon</t>
  </si>
  <si>
    <t>1*Icon</t>
  </si>
  <si>
    <t>3*Name</t>
  </si>
  <si>
    <t>2*Name</t>
  </si>
  <si>
    <t>1*Name</t>
  </si>
  <si>
    <t>HelperName3*</t>
  </si>
  <si>
    <t>HelperName2*</t>
  </si>
  <si>
    <t>HelperName1*</t>
  </si>
  <si>
    <t>3* (Asc)</t>
  </si>
  <si>
    <t>2* (Asc)</t>
  </si>
  <si>
    <t>1* (Asc)</t>
  </si>
  <si>
    <t>3* (Tal)</t>
  </si>
  <si>
    <t>2* (Tal)</t>
  </si>
  <si>
    <t>1* (Tal)</t>
  </si>
  <si>
    <t>3* Icon</t>
  </si>
  <si>
    <t>1* Icon</t>
  </si>
  <si>
    <t>3* Quantity</t>
  </si>
  <si>
    <t>2* Icon</t>
  </si>
  <si>
    <t>2* Quantity</t>
  </si>
  <si>
    <t>1* Quantity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</si>
</sst>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rgb="FF0061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26"/>
      <color theme="4"/>
      <name val="Calibri"/>
      <family val="2"/>
      <scheme val="minor"/>
    </font>
    <font>
      <b/>
      <sz val="11"/>
      <color theme="4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medium">
        <color theme="4"/>
      </right>
      <top style="medium">
        <color theme="4"/>
      </top>
      <bottom style="medium">
        <color theme="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3" fillId="3" borderId="0" applyNumberFormat="0" applyBorder="0" applyAlignment="0" applyProtection="0"/>
    <xf numFmtId="0" fontId="14" fillId="4" borderId="0" applyNumberFormat="0" applyBorder="0" applyAlignment="0" applyProtection="0"/>
    <xf numFmtId="0" fontId="15" fillId="0" borderId="0" applyNumberFormat="0" applyFill="0" applyBorder="0" applyAlignment="0" applyProtection="0"/>
    <xf numFmtId="0" fontId="17" fillId="0" borderId="0" applyNumberFormat="0" applyFill="0" applyBorder="0" applyAlignment="0" applyProtection="0"/>
  </cellStyleXfs>
  <cellXfs count="23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" fontId="0" fillId="0" borderId="0" xfId="0" applyNumberFormat="1"/>
    <xf numFmtId="0" fontId="0" fillId="0" borderId="3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0" fillId="0" borderId="11" xfId="0" applyBorder="1" applyAlignment="1">
      <alignment horizontal="left" vertical="center"/>
    </xf>
    <xf numFmtId="1" fontId="2" fillId="5" borderId="0" xfId="0" applyNumberFormat="1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1" fontId="19" fillId="5" borderId="0" xfId="0" applyNumberFormat="1" applyFont="1" applyFill="1" applyAlignment="1">
      <alignment horizontal="center" vertical="center"/>
    </xf>
    <xf numFmtId="3" fontId="2" fillId="5" borderId="0" xfId="0" applyNumberFormat="1" applyFont="1" applyFill="1" applyAlignment="1">
      <alignment horizontal="center" vertical="center"/>
    </xf>
    <xf numFmtId="1" fontId="19" fillId="0" borderId="0" xfId="0" applyNumberFormat="1" applyFont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3" fontId="19" fillId="0" borderId="0" xfId="0" applyNumberFormat="1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" fillId="0" borderId="23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3" fillId="2" borderId="29" xfId="0" applyFont="1" applyFill="1" applyBorder="1" applyAlignment="1">
      <alignment horizontal="center" vertical="center"/>
    </xf>
    <xf numFmtId="0" fontId="3" fillId="0" borderId="28" xfId="0" applyFont="1" applyBorder="1" applyAlignment="1">
      <alignment horizontal="center" vertical="center" wrapText="1"/>
    </xf>
    <xf numFmtId="0" fontId="3" fillId="0" borderId="29" xfId="0" applyFont="1" applyBorder="1" applyAlignment="1">
      <alignment horizontal="center" vertical="center" wrapText="1"/>
    </xf>
    <xf numFmtId="0" fontId="3" fillId="0" borderId="30" xfId="0" applyFont="1" applyBorder="1" applyAlignment="1">
      <alignment horizontal="center" vertical="center" wrapText="1"/>
    </xf>
    <xf numFmtId="0" fontId="19" fillId="0" borderId="31" xfId="0" applyFont="1" applyBorder="1" applyAlignment="1">
      <alignment horizontal="center" vertical="center"/>
    </xf>
    <xf numFmtId="0" fontId="19" fillId="0" borderId="32" xfId="0" applyFont="1" applyBorder="1" applyAlignment="1">
      <alignment horizontal="center" vertical="center"/>
    </xf>
    <xf numFmtId="0" fontId="19" fillId="0" borderId="32" xfId="0" applyFont="1" applyBorder="1" applyAlignment="1">
      <alignment horizontal="center" vertical="center" wrapText="1"/>
    </xf>
    <xf numFmtId="0" fontId="2" fillId="0" borderId="32" xfId="0" applyFont="1" applyBorder="1" applyAlignment="1">
      <alignment horizontal="center" vertical="center"/>
    </xf>
    <xf numFmtId="164" fontId="2" fillId="0" borderId="33" xfId="0" applyNumberFormat="1" applyFont="1" applyBorder="1" applyAlignment="1">
      <alignment horizontal="center" vertical="center"/>
    </xf>
    <xf numFmtId="0" fontId="19" fillId="0" borderId="23" xfId="0" applyFont="1" applyBorder="1" applyAlignment="1">
      <alignment horizontal="center" vertical="center"/>
    </xf>
    <xf numFmtId="164" fontId="2" fillId="0" borderId="24" xfId="0" applyNumberFormat="1" applyFont="1" applyBorder="1" applyAlignment="1">
      <alignment horizontal="center" vertical="center"/>
    </xf>
    <xf numFmtId="0" fontId="19" fillId="0" borderId="25" xfId="0" applyFont="1" applyBorder="1" applyAlignment="1">
      <alignment horizontal="center" vertical="center"/>
    </xf>
    <xf numFmtId="0" fontId="19" fillId="0" borderId="34" xfId="0" applyFont="1" applyBorder="1" applyAlignment="1">
      <alignment horizontal="center" vertical="center"/>
    </xf>
    <xf numFmtId="0" fontId="19" fillId="0" borderId="34" xfId="0" applyFont="1" applyBorder="1" applyAlignment="1">
      <alignment horizontal="center" vertical="center" wrapText="1"/>
    </xf>
    <xf numFmtId="164" fontId="2" fillId="0" borderId="26" xfId="0" applyNumberFormat="1" applyFont="1" applyBorder="1" applyAlignment="1">
      <alignment horizontal="center" vertical="center"/>
    </xf>
    <xf numFmtId="0" fontId="3" fillId="6" borderId="27" xfId="0" applyFont="1" applyFill="1" applyBorder="1" applyAlignment="1">
      <alignment horizontal="center" vertical="center" wrapText="1"/>
    </xf>
    <xf numFmtId="0" fontId="3" fillId="0" borderId="27" xfId="0" applyFont="1" applyBorder="1" applyAlignment="1">
      <alignment horizontal="center" vertical="center" wrapText="1"/>
    </xf>
    <xf numFmtId="0" fontId="2" fillId="5" borderId="33" xfId="0" applyFont="1" applyFill="1" applyBorder="1" applyAlignment="1">
      <alignment horizontal="center" vertical="center"/>
    </xf>
    <xf numFmtId="0" fontId="2" fillId="5" borderId="24" xfId="0" applyFont="1" applyFill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1" fontId="2" fillId="0" borderId="35" xfId="0" applyNumberFormat="1" applyFont="1" applyBorder="1" applyAlignment="1">
      <alignment horizontal="center" vertical="center"/>
    </xf>
    <xf numFmtId="1" fontId="2" fillId="0" borderId="36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1" fontId="2" fillId="0" borderId="29" xfId="0" applyNumberFormat="1" applyFont="1" applyBorder="1" applyAlignment="1">
      <alignment horizontal="center" vertical="center"/>
    </xf>
    <xf numFmtId="1" fontId="2" fillId="0" borderId="30" xfId="0" applyNumberFormat="1" applyFont="1" applyBorder="1" applyAlignment="1">
      <alignment horizontal="center" vertical="center"/>
    </xf>
    <xf numFmtId="1" fontId="2" fillId="5" borderId="32" xfId="0" applyNumberFormat="1" applyFont="1" applyFill="1" applyBorder="1" applyAlignment="1">
      <alignment horizontal="center" vertical="center"/>
    </xf>
    <xf numFmtId="1" fontId="2" fillId="5" borderId="33" xfId="0" applyNumberFormat="1" applyFont="1" applyFill="1" applyBorder="1" applyAlignment="1">
      <alignment horizontal="center" vertical="center"/>
    </xf>
    <xf numFmtId="1" fontId="2" fillId="0" borderId="23" xfId="0" applyNumberFormat="1" applyFont="1" applyBorder="1" applyAlignment="1">
      <alignment horizontal="center" vertical="center"/>
    </xf>
    <xf numFmtId="1" fontId="2" fillId="0" borderId="24" xfId="0" applyNumberFormat="1" applyFont="1" applyBorder="1" applyAlignment="1">
      <alignment horizontal="center" vertical="center"/>
    </xf>
    <xf numFmtId="1" fontId="2" fillId="5" borderId="24" xfId="0" applyNumberFormat="1" applyFont="1" applyFill="1" applyBorder="1" applyAlignment="1">
      <alignment horizontal="center" vertical="center"/>
    </xf>
    <xf numFmtId="1" fontId="2" fillId="5" borderId="34" xfId="0" applyNumberFormat="1" applyFont="1" applyFill="1" applyBorder="1" applyAlignment="1">
      <alignment horizontal="center" vertical="center"/>
    </xf>
    <xf numFmtId="1" fontId="2" fillId="5" borderId="26" xfId="0" applyNumberFormat="1" applyFont="1" applyFill="1" applyBorder="1" applyAlignment="1">
      <alignment horizontal="center" vertical="center"/>
    </xf>
    <xf numFmtId="0" fontId="3" fillId="6" borderId="35" xfId="0" applyFont="1" applyFill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1" fontId="2" fillId="0" borderId="32" xfId="0" applyNumberFormat="1" applyFont="1" applyBorder="1" applyAlignment="1">
      <alignment horizontal="center" vertical="center"/>
    </xf>
    <xf numFmtId="1" fontId="19" fillId="0" borderId="32" xfId="0" applyNumberFormat="1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5" borderId="32" xfId="0" applyFont="1" applyFill="1" applyBorder="1" applyAlignment="1">
      <alignment horizontal="center" vertical="center"/>
    </xf>
    <xf numFmtId="1" fontId="2" fillId="5" borderId="23" xfId="0" applyNumberFormat="1" applyFont="1" applyFill="1" applyBorder="1" applyAlignment="1">
      <alignment horizontal="center" vertical="center"/>
    </xf>
    <xf numFmtId="0" fontId="2" fillId="5" borderId="34" xfId="0" applyFont="1" applyFill="1" applyBorder="1" applyAlignment="1">
      <alignment horizontal="center" vertical="center"/>
    </xf>
    <xf numFmtId="0" fontId="2" fillId="5" borderId="26" xfId="0" applyFont="1" applyFill="1" applyBorder="1" applyAlignment="1">
      <alignment horizontal="center" vertical="center"/>
    </xf>
    <xf numFmtId="0" fontId="2" fillId="5" borderId="23" xfId="0" applyFont="1" applyFill="1" applyBorder="1" applyAlignment="1">
      <alignment horizontal="center" vertical="center"/>
    </xf>
    <xf numFmtId="1" fontId="19" fillId="0" borderId="29" xfId="0" applyNumberFormat="1" applyFont="1" applyBorder="1" applyAlignment="1">
      <alignment horizontal="center" vertical="center"/>
    </xf>
    <xf numFmtId="1" fontId="19" fillId="0" borderId="30" xfId="0" applyNumberFormat="1" applyFont="1" applyBorder="1" applyAlignment="1">
      <alignment horizontal="center" vertical="center"/>
    </xf>
    <xf numFmtId="1" fontId="2" fillId="0" borderId="28" xfId="0" applyNumberFormat="1" applyFont="1" applyBorder="1" applyAlignment="1">
      <alignment horizontal="center" vertical="center"/>
    </xf>
    <xf numFmtId="1" fontId="19" fillId="5" borderId="23" xfId="0" applyNumberFormat="1" applyFont="1" applyFill="1" applyBorder="1" applyAlignment="1">
      <alignment horizontal="center" vertical="center"/>
    </xf>
    <xf numFmtId="1" fontId="19" fillId="5" borderId="24" xfId="0" applyNumberFormat="1" applyFont="1" applyFill="1" applyBorder="1" applyAlignment="1">
      <alignment horizontal="center" vertical="center"/>
    </xf>
    <xf numFmtId="1" fontId="19" fillId="0" borderId="23" xfId="0" applyNumberFormat="1" applyFont="1" applyBorder="1" applyAlignment="1">
      <alignment horizontal="center" vertical="center"/>
    </xf>
    <xf numFmtId="1" fontId="19" fillId="0" borderId="24" xfId="0" applyNumberFormat="1" applyFont="1" applyBorder="1" applyAlignment="1">
      <alignment horizontal="center" vertical="center"/>
    </xf>
    <xf numFmtId="1" fontId="19" fillId="5" borderId="25" xfId="0" applyNumberFormat="1" applyFont="1" applyFill="1" applyBorder="1" applyAlignment="1">
      <alignment horizontal="center" vertical="center"/>
    </xf>
    <xf numFmtId="1" fontId="19" fillId="5" borderId="34" xfId="0" applyNumberFormat="1" applyFont="1" applyFill="1" applyBorder="1" applyAlignment="1">
      <alignment horizontal="center" vertical="center"/>
    </xf>
    <xf numFmtId="1" fontId="19" fillId="5" borderId="26" xfId="0" applyNumberFormat="1" applyFont="1" applyFill="1" applyBorder="1" applyAlignment="1">
      <alignment horizontal="center" vertical="center"/>
    </xf>
    <xf numFmtId="0" fontId="3" fillId="2" borderId="30" xfId="0" applyFont="1" applyFill="1" applyBorder="1" applyAlignment="1">
      <alignment vertical="center"/>
    </xf>
    <xf numFmtId="3" fontId="2" fillId="5" borderId="31" xfId="0" applyNumberFormat="1" applyFont="1" applyFill="1" applyBorder="1" applyAlignment="1">
      <alignment horizontal="center" vertical="center"/>
    </xf>
    <xf numFmtId="3" fontId="2" fillId="5" borderId="32" xfId="0" applyNumberFormat="1" applyFont="1" applyFill="1" applyBorder="1" applyAlignment="1">
      <alignment horizontal="center" vertical="center"/>
    </xf>
    <xf numFmtId="3" fontId="2" fillId="5" borderId="33" xfId="0" applyNumberFormat="1" applyFont="1" applyFill="1" applyBorder="1" applyAlignment="1">
      <alignment horizontal="center" vertical="center"/>
    </xf>
    <xf numFmtId="3" fontId="2" fillId="0" borderId="23" xfId="0" applyNumberFormat="1" applyFont="1" applyBorder="1" applyAlignment="1">
      <alignment horizontal="center" vertical="center"/>
    </xf>
    <xf numFmtId="3" fontId="2" fillId="0" borderId="24" xfId="0" applyNumberFormat="1" applyFont="1" applyBorder="1" applyAlignment="1">
      <alignment horizontal="center" vertical="center"/>
    </xf>
    <xf numFmtId="3" fontId="2" fillId="5" borderId="23" xfId="0" applyNumberFormat="1" applyFont="1" applyFill="1" applyBorder="1" applyAlignment="1">
      <alignment horizontal="center" vertical="center"/>
    </xf>
    <xf numFmtId="3" fontId="2" fillId="5" borderId="24" xfId="0" applyNumberFormat="1" applyFont="1" applyFill="1" applyBorder="1" applyAlignment="1">
      <alignment horizontal="center" vertical="center"/>
    </xf>
    <xf numFmtId="3" fontId="2" fillId="0" borderId="29" xfId="0" applyNumberFormat="1" applyFont="1" applyBorder="1" applyAlignment="1">
      <alignment horizontal="center" vertical="center"/>
    </xf>
    <xf numFmtId="3" fontId="2" fillId="0" borderId="30" xfId="0" applyNumberFormat="1" applyFont="1" applyBorder="1" applyAlignment="1">
      <alignment horizontal="center" vertical="center"/>
    </xf>
    <xf numFmtId="3" fontId="2" fillId="0" borderId="28" xfId="0" applyNumberFormat="1" applyFont="1" applyBorder="1" applyAlignment="1">
      <alignment horizontal="center" vertical="center"/>
    </xf>
    <xf numFmtId="0" fontId="2" fillId="5" borderId="36" xfId="0" applyFont="1" applyFill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5" borderId="35" xfId="0" applyFont="1" applyFill="1" applyBorder="1" applyAlignment="1">
      <alignment horizontal="center" vertical="center"/>
    </xf>
    <xf numFmtId="1" fontId="2" fillId="5" borderId="35" xfId="0" applyNumberFormat="1" applyFont="1" applyFill="1" applyBorder="1" applyAlignment="1">
      <alignment horizontal="center" vertical="center"/>
    </xf>
    <xf numFmtId="1" fontId="2" fillId="5" borderId="36" xfId="0" applyNumberFormat="1" applyFont="1" applyFill="1" applyBorder="1" applyAlignment="1">
      <alignment horizontal="center" vertical="center"/>
    </xf>
    <xf numFmtId="1" fontId="2" fillId="5" borderId="37" xfId="0" applyNumberFormat="1" applyFont="1" applyFill="1" applyBorder="1" applyAlignment="1">
      <alignment horizontal="center" vertical="center"/>
    </xf>
    <xf numFmtId="1" fontId="2" fillId="0" borderId="37" xfId="0" applyNumberFormat="1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14" fillId="4" borderId="15" xfId="2" applyBorder="1" applyAlignment="1">
      <alignment vertical="center"/>
    </xf>
    <xf numFmtId="0" fontId="13" fillId="3" borderId="16" xfId="1" applyBorder="1" applyAlignment="1" applyProtection="1">
      <alignment vertical="center"/>
      <protection locked="0"/>
    </xf>
    <xf numFmtId="0" fontId="14" fillId="4" borderId="17" xfId="2" applyBorder="1" applyAlignment="1">
      <alignment vertical="center"/>
    </xf>
    <xf numFmtId="164" fontId="13" fillId="3" borderId="18" xfId="1" applyNumberFormat="1" applyBorder="1" applyAlignment="1">
      <alignment horizontal="left" vertical="center"/>
    </xf>
    <xf numFmtId="0" fontId="13" fillId="3" borderId="18" xfId="1" applyBorder="1" applyAlignment="1">
      <alignment vertical="center"/>
    </xf>
    <xf numFmtId="0" fontId="14" fillId="4" borderId="23" xfId="2" applyBorder="1" applyAlignment="1">
      <alignment vertical="center"/>
    </xf>
    <xf numFmtId="0" fontId="13" fillId="3" borderId="24" xfId="1" applyBorder="1" applyAlignment="1">
      <alignment vertical="center"/>
    </xf>
    <xf numFmtId="0" fontId="14" fillId="4" borderId="25" xfId="2" applyBorder="1" applyAlignment="1">
      <alignment vertical="center"/>
    </xf>
    <xf numFmtId="0" fontId="13" fillId="3" borderId="26" xfId="1" applyBorder="1" applyAlignment="1">
      <alignment vertical="center"/>
    </xf>
    <xf numFmtId="0" fontId="13" fillId="3" borderId="16" xfId="1" applyBorder="1" applyAlignment="1">
      <alignment vertical="center"/>
    </xf>
    <xf numFmtId="0" fontId="15" fillId="0" borderId="0" xfId="3" applyAlignment="1" applyProtection="1">
      <alignment vertical="center"/>
    </xf>
    <xf numFmtId="0" fontId="14" fillId="4" borderId="21" xfId="2" applyBorder="1" applyAlignment="1">
      <alignment vertical="center"/>
    </xf>
    <xf numFmtId="0" fontId="13" fillId="3" borderId="22" xfId="1" applyBorder="1" applyAlignment="1">
      <alignment vertical="center"/>
    </xf>
    <xf numFmtId="0" fontId="14" fillId="4" borderId="19" xfId="2" applyBorder="1" applyAlignment="1">
      <alignment vertical="center"/>
    </xf>
    <xf numFmtId="0" fontId="13" fillId="3" borderId="20" xfId="1" applyBorder="1" applyAlignment="1">
      <alignment vertical="center"/>
    </xf>
    <xf numFmtId="49" fontId="0" fillId="0" borderId="0" xfId="0" applyNumberFormat="1" applyAlignment="1">
      <alignment vertical="center"/>
    </xf>
    <xf numFmtId="0" fontId="7" fillId="0" borderId="0" xfId="0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1" fontId="1" fillId="0" borderId="8" xfId="0" applyNumberFormat="1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5" fillId="0" borderId="0" xfId="3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5" fillId="2" borderId="31" xfId="0" applyFont="1" applyFill="1" applyBorder="1" applyAlignment="1">
      <alignment horizontal="center" vertical="center"/>
    </xf>
    <xf numFmtId="0" fontId="5" fillId="2" borderId="32" xfId="0" applyFont="1" applyFill="1" applyBorder="1" applyAlignment="1">
      <alignment horizontal="center" vertical="center"/>
    </xf>
    <xf numFmtId="0" fontId="5" fillId="2" borderId="33" xfId="0" applyFont="1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22" fillId="2" borderId="34" xfId="0" applyFont="1" applyFill="1" applyBorder="1" applyAlignment="1">
      <alignment horizontal="center" vertical="center"/>
    </xf>
    <xf numFmtId="0" fontId="8" fillId="0" borderId="26" xfId="0" applyFon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1" fontId="0" fillId="0" borderId="34" xfId="0" applyNumberFormat="1" applyBorder="1" applyAlignment="1">
      <alignment horizontal="center" vertical="center"/>
    </xf>
    <xf numFmtId="164" fontId="0" fillId="0" borderId="26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8" fillId="0" borderId="25" xfId="0" applyFont="1" applyBorder="1" applyAlignment="1">
      <alignment horizontal="center" vertical="center" wrapText="1"/>
    </xf>
    <xf numFmtId="0" fontId="8" fillId="0" borderId="34" xfId="0" applyFont="1" applyBorder="1" applyAlignment="1">
      <alignment horizontal="center" vertical="center" wrapText="1"/>
    </xf>
    <xf numFmtId="0" fontId="8" fillId="0" borderId="26" xfId="0" applyFont="1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16" fillId="3" borderId="0" xfId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" fillId="2" borderId="28" xfId="0" applyFont="1" applyFill="1" applyBorder="1" applyAlignment="1">
      <alignment horizontal="center" vertical="center"/>
    </xf>
    <xf numFmtId="0" fontId="3" fillId="2" borderId="30" xfId="0" applyFont="1" applyFill="1" applyBorder="1" applyAlignment="1">
      <alignment horizontal="center" vertical="center"/>
    </xf>
    <xf numFmtId="0" fontId="21" fillId="7" borderId="38" xfId="0" applyFont="1" applyFill="1" applyBorder="1" applyAlignment="1">
      <alignment horizontal="left" vertical="center"/>
    </xf>
    <xf numFmtId="0" fontId="21" fillId="7" borderId="39" xfId="0" applyFont="1" applyFill="1" applyBorder="1" applyAlignment="1">
      <alignment horizontal="left" vertical="center"/>
    </xf>
    <xf numFmtId="0" fontId="21" fillId="7" borderId="40" xfId="0" applyFont="1" applyFill="1" applyBorder="1" applyAlignment="1">
      <alignment horizontal="left" vertical="center"/>
    </xf>
    <xf numFmtId="0" fontId="3" fillId="2" borderId="29" xfId="0" applyFont="1" applyFill="1" applyBorder="1" applyAlignment="1">
      <alignment horizontal="center" vertical="center" wrapText="1"/>
    </xf>
    <xf numFmtId="0" fontId="3" fillId="2" borderId="30" xfId="0" applyFont="1" applyFill="1" applyBorder="1" applyAlignment="1">
      <alignment horizontal="center" vertical="center" wrapText="1"/>
    </xf>
    <xf numFmtId="0" fontId="3" fillId="2" borderId="29" xfId="0" applyFont="1" applyFill="1" applyBorder="1" applyAlignment="1">
      <alignment horizontal="center" vertical="center"/>
    </xf>
    <xf numFmtId="0" fontId="3" fillId="2" borderId="28" xfId="0" applyFont="1" applyFill="1" applyBorder="1" applyAlignment="1">
      <alignment horizontal="right" vertical="center"/>
    </xf>
    <xf numFmtId="0" fontId="3" fillId="2" borderId="29" xfId="0" applyFont="1" applyFill="1" applyBorder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8" fillId="2" borderId="28" xfId="0" applyFont="1" applyFill="1" applyBorder="1" applyAlignment="1">
      <alignment horizontal="center" vertical="center"/>
    </xf>
    <xf numFmtId="0" fontId="18" fillId="2" borderId="29" xfId="0" applyFont="1" applyFill="1" applyBorder="1" applyAlignment="1">
      <alignment horizontal="center" vertical="center"/>
    </xf>
    <xf numFmtId="0" fontId="18" fillId="2" borderId="30" xfId="0" applyFont="1" applyFill="1" applyBorder="1" applyAlignment="1">
      <alignment horizontal="center" vertical="center"/>
    </xf>
    <xf numFmtId="0" fontId="5" fillId="2" borderId="23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  <xf numFmtId="0" fontId="5" fillId="2" borderId="31" xfId="0" applyFont="1" applyFill="1" applyBorder="1" applyAlignment="1">
      <alignment horizontal="center" vertical="center"/>
    </xf>
    <xf numFmtId="0" fontId="5" fillId="2" borderId="32" xfId="0" applyFont="1" applyFill="1" applyBorder="1" applyAlignment="1">
      <alignment horizontal="center" vertical="center"/>
    </xf>
    <xf numFmtId="0" fontId="5" fillId="2" borderId="33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>
      <alignment horizontal="left" vertical="center"/>
    </xf>
    <xf numFmtId="0" fontId="18" fillId="2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0" fillId="0" borderId="24" xfId="0" applyNumberFormat="1" applyBorder="1" applyAlignment="1">
      <alignment horizontal="center" vertical="center"/>
    </xf>
    <xf numFmtId="0" fontId="17" fillId="0" borderId="0" xfId="4" applyBorder="1" applyAlignment="1">
      <alignment horizontal="center" vertical="center"/>
    </xf>
    <xf numFmtId="0" fontId="0" fillId="0" borderId="25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18" fillId="2" borderId="32" xfId="0" applyFont="1" applyFill="1" applyBorder="1" applyAlignment="1">
      <alignment horizontal="center" vertical="center"/>
    </xf>
    <xf numFmtId="0" fontId="18" fillId="2" borderId="33" xfId="0" applyFont="1" applyFill="1" applyBorder="1" applyAlignment="1">
      <alignment horizontal="center" vertical="center"/>
    </xf>
    <xf numFmtId="0" fontId="18" fillId="2" borderId="31" xfId="0" applyFont="1" applyFill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0" borderId="33" xfId="0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</cellXfs>
  <cellStyles count="5">
    <cellStyle name="Bad" xfId="2" builtinId="27"/>
    <cellStyle name="Explanatory Text" xfId="3" builtinId="53"/>
    <cellStyle name="Good" xfId="1" builtinId="26"/>
    <cellStyle name="Hyperlink" xfId="4" builtinId="8"/>
    <cellStyle name="Normal" xfId="0" builtinId="0"/>
  </cellStyles>
  <dxfs count="495"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top style="medium">
          <color indexed="64"/>
        </top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border>
        <bottom style="medium">
          <color indexed="64"/>
        </bottom>
      </border>
    </dxf>
    <dxf>
      <numFmt numFmtId="164" formatCode="0.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border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horizontal/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horizontal/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horizontal/>
      </border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horizontal/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horizontal/>
      </border>
    </dxf>
    <dxf>
      <numFmt numFmtId="0" formatCode="General"/>
      <alignment horizontal="center" vertical="center" textRotation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horizontal/>
      </border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numFmt numFmtId="0" formatCode="General"/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horizontal/>
      </border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horizontal/>
      </border>
    </dxf>
    <dxf>
      <numFmt numFmtId="0" formatCode="General"/>
      <alignment horizontal="center" vertical="center" textRotation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horizontal/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horizontal/>
      </border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horizontal/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horizontal/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numFmt numFmtId="164" formatCode="0.0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numFmt numFmtId="164" formatCode="0.0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4" formatCode="0.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4" formatCode="0.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4" formatCode="0.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vertic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 style="medium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3" formatCode="#,##0"/>
      <alignment horizontal="center" vertical="center" textRotation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3" formatCode="#,##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3" formatCode="#,##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3" formatCode="#,##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3" formatCode="#,##0"/>
      <alignment horizontal="center" vertical="center" textRotation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border>
        <top style="medium">
          <color indexed="64"/>
        </top>
      </border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center" vertical="center" textRotation="0" indent="0" justifyLastLine="0" shrinkToFit="0" readingOrder="0"/>
    </dxf>
    <dxf>
      <border>
        <bottom style="medium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/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1" formatCode="0"/>
      <alignment horizontal="center" vertical="center" textRotation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/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1" formatCode="0"/>
      <alignment horizontal="center"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1" formatCode="0"/>
      <alignment horizontal="center" vertical="center" textRotation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1" formatCode="0"/>
      <alignment horizontal="center" vertical="center" textRotation="0" indent="0" justifyLastLine="0" shrinkToFit="0" readingOrder="0"/>
      <border diagonalUp="0" diagonalDown="0">
        <left/>
        <right style="medium">
          <color indexed="64"/>
        </right>
        <vertical/>
      </border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1" formatCode="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1" formatCode="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1" formatCode="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1" formatCode="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1" formatCode="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1" formatCode="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1" formatCode="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1" formatCode="0"/>
      <alignment horizontal="center" vertical="center" textRotation="0" indent="0" justifyLastLine="0" shrinkToFit="0" readingOrder="0"/>
      <border diagonalUp="0" diagonalDown="0">
        <left style="medium">
          <color indexed="64"/>
        </left>
        <right/>
        <vertical/>
      </border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1" formatCode="0"/>
      <alignment horizontal="center" vertical="center" textRotation="0" indent="0" justifyLastLine="0" shrinkToFit="0" readingOrder="0"/>
      <border diagonalUp="0" diagonalDown="0">
        <left/>
        <right style="medium">
          <color indexed="64"/>
        </right>
        <vertical/>
      </border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1" formatCode="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1" formatCode="0"/>
      <alignment horizontal="center" vertical="center" textRotation="0" indent="0" justifyLastLine="0" shrinkToFit="0" readingOrder="0"/>
      <border diagonalUp="0" diagonalDown="0">
        <left style="medium">
          <color indexed="64"/>
        </left>
        <right/>
        <vertical/>
      </border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medium">
          <color indexed="64"/>
        </right>
        <vertical/>
      </border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 style="medium">
          <color indexed="64"/>
        </left>
        <right/>
        <vertical/>
      </border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</dxf>
    <dxf>
      <border>
        <top style="medium">
          <color indexed="64"/>
        </top>
      </border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left style="thin">
          <color indexed="64"/>
        </left>
      </border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center" vertical="center" textRotation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Calibri"/>
        <family val="2"/>
        <scheme val="minor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vertical/>
      </border>
    </dxf>
    <dxf>
      <border>
        <top style="medium">
          <color indexed="64"/>
        </top>
      </border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center" vertical="center" textRotation="0" indent="0" justifyLastLine="0" shrinkToFit="0" readingOrder="0"/>
    </dxf>
    <dxf>
      <border>
        <bottom style="medium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vertical/>
      </border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>
        <top style="medium">
          <color indexed="64"/>
        </top>
      </border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center" vertical="center" textRotation="0" indent="0" justifyLastLine="0" shrinkToFit="0" readingOrder="0"/>
    </dxf>
    <dxf>
      <border>
        <bottom style="medium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border>
        <bottom style="medium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1" formatCode="0"/>
      <alignment horizontal="center" vertical="center" textRotation="0" indent="0" justifyLastLine="0" shrinkToFit="0" readingOrder="0"/>
      <border diagonalUp="0" diagonalDown="0">
        <left/>
        <right style="medium">
          <color indexed="64"/>
        </right>
        <vertical/>
      </border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vertical/>
      </border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1" formatCode="0"/>
      <alignment horizontal="center" vertical="center" textRotation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>
        <top style="medium">
          <color indexed="64"/>
        </top>
      </border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center" vertical="center" textRotation="0" indent="0" justifyLastLine="0" shrinkToFit="0" readingOrder="0"/>
    </dxf>
    <dxf>
      <border>
        <bottom style="medium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1" formatCode="0"/>
      <alignment horizontal="center" vertical="center" textRotation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1" formatCode="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1" formatCode="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1" formatCode="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1" formatCode="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1" formatCode="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1" formatCode="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1" formatCode="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1" formatCode="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medium">
          <color indexed="64"/>
        </right>
        <vertical/>
      </border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>
        <top style="medium">
          <color indexed="64"/>
        </top>
      </border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</border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center" vertical="center" textRotation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vertical/>
      </border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>
        <top style="medium">
          <color indexed="64"/>
        </top>
      </border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center" vertical="center" textRotation="0" indent="0" justifyLastLine="0" shrinkToFit="0" readingOrder="0"/>
    </dxf>
    <dxf>
      <border>
        <bottom style="medium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center" vertical="center" textRotation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.0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66FF33"/>
      <color rgb="FFFF5050"/>
      <color rgb="FF3399FF"/>
      <color rgb="FFFF9900"/>
      <color rgb="FF9933FF"/>
      <color rgb="FF00FFFF"/>
      <color rgb="FF99FFCC"/>
      <color rgb="FFFF9933"/>
      <color rgb="FFE98FFF"/>
      <color rgb="FFD9AD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20/07/relationships/rdRichValueWebImage" Target="richData/rdRichValueWebImage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3.emf"/><Relationship Id="rId2" Type="http://schemas.openxmlformats.org/officeDocument/2006/relationships/image" Target="../media/image562.emf"/><Relationship Id="rId1" Type="http://schemas.openxmlformats.org/officeDocument/2006/relationships/image" Target="../media/image561.emf"/><Relationship Id="rId6" Type="http://schemas.openxmlformats.org/officeDocument/2006/relationships/image" Target="../media/image566.emf"/><Relationship Id="rId5" Type="http://schemas.openxmlformats.org/officeDocument/2006/relationships/image" Target="../media/image565.emf"/><Relationship Id="rId4" Type="http://schemas.openxmlformats.org/officeDocument/2006/relationships/image" Target="../media/image5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24</xdr:row>
          <xdr:rowOff>66675</xdr:rowOff>
        </xdr:from>
        <xdr:to>
          <xdr:col>7</xdr:col>
          <xdr:colOff>1009650</xdr:colOff>
          <xdr:row>26</xdr:row>
          <xdr:rowOff>38100</xdr:rowOff>
        </xdr:to>
        <xdr:sp macro="" textlink="">
          <xdr:nvSpPr>
            <xdr:cNvPr id="3080" name="SummeryTable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24</xdr:row>
          <xdr:rowOff>66675</xdr:rowOff>
        </xdr:from>
        <xdr:to>
          <xdr:col>4</xdr:col>
          <xdr:colOff>1009650</xdr:colOff>
          <xdr:row>26</xdr:row>
          <xdr:rowOff>38100</xdr:rowOff>
        </xdr:to>
        <xdr:sp macro="" textlink="">
          <xdr:nvSpPr>
            <xdr:cNvPr id="3090" name="AscensionMob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666750</xdr:colOff>
          <xdr:row>24</xdr:row>
          <xdr:rowOff>66675</xdr:rowOff>
        </xdr:from>
        <xdr:to>
          <xdr:col>1</xdr:col>
          <xdr:colOff>1009650</xdr:colOff>
          <xdr:row>26</xdr:row>
          <xdr:rowOff>38100</xdr:rowOff>
        </xdr:to>
        <xdr:sp macro="" textlink="">
          <xdr:nvSpPr>
            <xdr:cNvPr id="3091" name="AscensionFlower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11</xdr:row>
          <xdr:rowOff>47625</xdr:rowOff>
        </xdr:from>
        <xdr:to>
          <xdr:col>7</xdr:col>
          <xdr:colOff>1019175</xdr:colOff>
          <xdr:row>13</xdr:row>
          <xdr:rowOff>19050</xdr:rowOff>
        </xdr:to>
        <xdr:sp macro="" textlink="">
          <xdr:nvSpPr>
            <xdr:cNvPr id="3102" name="WeeklyBoss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11</xdr:row>
          <xdr:rowOff>47625</xdr:rowOff>
        </xdr:from>
        <xdr:to>
          <xdr:col>4</xdr:col>
          <xdr:colOff>1009650</xdr:colOff>
          <xdr:row>13</xdr:row>
          <xdr:rowOff>19050</xdr:rowOff>
        </xdr:to>
        <xdr:sp macro="" textlink="">
          <xdr:nvSpPr>
            <xdr:cNvPr id="3103" name="TalentBook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666750</xdr:colOff>
          <xdr:row>11</xdr:row>
          <xdr:rowOff>47625</xdr:rowOff>
        </xdr:from>
        <xdr:to>
          <xdr:col>1</xdr:col>
          <xdr:colOff>981075</xdr:colOff>
          <xdr:row>13</xdr:row>
          <xdr:rowOff>9525</xdr:rowOff>
        </xdr:to>
        <xdr:sp macro="" textlink="">
          <xdr:nvSpPr>
            <xdr:cNvPr id="3104" name="WorldBoss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0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richData/_rels/rdRichValueWebImage.xml.rels><?xml version="1.0" encoding="UTF-8" standalone="yes"?>
<Relationships xmlns="http://schemas.openxmlformats.org/package/2006/relationships"><Relationship Id="rId21" Type="http://schemas.openxmlformats.org/officeDocument/2006/relationships/hyperlink" Target="https://raw.githubusercontent.com/ItsCryp7iC/Genshin-Image-Hosting/main/WorldBoss/HurricaneSeed.png" TargetMode="External"/><Relationship Id="rId170" Type="http://schemas.openxmlformats.org/officeDocument/2006/relationships/image" Target="../media/image85.png"/><Relationship Id="rId268" Type="http://schemas.openxmlformats.org/officeDocument/2006/relationships/image" Target="../media/image134.png"/><Relationship Id="rId475" Type="http://schemas.openxmlformats.org/officeDocument/2006/relationships/hyperlink" Target="https://raw.githubusercontent.com/ItsCryp7iC/Genshin-Image-Hosting/main/TalentBooks/TeachingsofTransience.png" TargetMode="External"/><Relationship Id="rId682" Type="http://schemas.openxmlformats.org/officeDocument/2006/relationships/image" Target="../media/image338.png"/><Relationship Id="rId128" Type="http://schemas.openxmlformats.org/officeDocument/2006/relationships/image" Target="../media/image64.png"/><Relationship Id="rId335" Type="http://schemas.openxmlformats.org/officeDocument/2006/relationships/hyperlink" Target="https://raw.githubusercontent.com/ItsCryp7iC/Genshin-Image-Hosting/main/MonsterDrops/2Star/TrimmedRedSilk.png" TargetMode="External"/><Relationship Id="rId542" Type="http://schemas.openxmlformats.org/officeDocument/2006/relationships/image" Target="../media/image268.png"/><Relationship Id="rId987" Type="http://schemas.openxmlformats.org/officeDocument/2006/relationships/hyperlink" Target="https://raw.githubusercontent.com/ItsCryp7iC/Genshin-Image-Hosting/main/Weapons/RecurveBow.png" TargetMode="External"/><Relationship Id="rId402" Type="http://schemas.openxmlformats.org/officeDocument/2006/relationships/image" Target="../media/image201.png"/><Relationship Id="rId847" Type="http://schemas.openxmlformats.org/officeDocument/2006/relationships/hyperlink" Target="https://raw.githubusercontent.com/ItsCryp7iC/Genshin-Image-Hosting/main/Weapons/HuntersPath.png" TargetMode="External"/><Relationship Id="rId1032" Type="http://schemas.openxmlformats.org/officeDocument/2006/relationships/image" Target="../media/image513.png"/><Relationship Id="rId707" Type="http://schemas.openxmlformats.org/officeDocument/2006/relationships/hyperlink" Target="https://raw.githubusercontent.com/ItsCryp7iC/Genshin-Image-Hosting/main/LocalSpecialties/Valberry.png" TargetMode="External"/><Relationship Id="rId914" Type="http://schemas.openxmlformats.org/officeDocument/2006/relationships/image" Target="../media/image454.png"/><Relationship Id="rId43" Type="http://schemas.openxmlformats.org/officeDocument/2006/relationships/hyperlink" Target="https://raw.githubusercontent.com/ItsCryp7iC/Genshin-Image-Hosting/main/WeaponMaterials/TileofDecarabiansTower.png" TargetMode="External"/><Relationship Id="rId192" Type="http://schemas.openxmlformats.org/officeDocument/2006/relationships/image" Target="../media/image96.png"/><Relationship Id="rId497" Type="http://schemas.openxmlformats.org/officeDocument/2006/relationships/hyperlink" Target="https://raw.githubusercontent.com/ItsCryp7iC/Genshin-Image-Hosting/main/LocalSpecialties/NoctilucousJade.png" TargetMode="External"/><Relationship Id="rId357" Type="http://schemas.openxmlformats.org/officeDocument/2006/relationships/hyperlink" Target="https://raw.githubusercontent.com/ItsCryp7iC/Genshin-Image-Hosting/main/TalentBooks/PhilosophiesofGold.png" TargetMode="External"/><Relationship Id="rId217" Type="http://schemas.openxmlformats.org/officeDocument/2006/relationships/hyperlink" Target="https://raw.githubusercontent.com/ItsCryp7iC/Genshin-Image-Hosting/main/LocalSpecialties/CorLapis.png" TargetMode="External"/><Relationship Id="rId564" Type="http://schemas.openxmlformats.org/officeDocument/2006/relationships/image" Target="../media/image279.png"/><Relationship Id="rId771" Type="http://schemas.openxmlformats.org/officeDocument/2006/relationships/hyperlink" Target="https://raw.githubusercontent.com/ItsCryp7iC/Genshin-Image-Hosting/main/Weapons/FilletBlade.png" TargetMode="External"/><Relationship Id="rId869" Type="http://schemas.openxmlformats.org/officeDocument/2006/relationships/hyperlink" Target="https://raw.githubusercontent.com/ItsCryp7iC/Genshin-Image-Hosting/main/Characters/SangonomiyaKokomi.png" TargetMode="External"/><Relationship Id="rId424" Type="http://schemas.openxmlformats.org/officeDocument/2006/relationships/image" Target="../media/image212.png"/><Relationship Id="rId631" Type="http://schemas.openxmlformats.org/officeDocument/2006/relationships/hyperlink" Target="https://raw.githubusercontent.com/ItsCryp7iC/Genshin-Image-Hosting/main/WeaponMaterials/NarukamisAffection.png" TargetMode="External"/><Relationship Id="rId729" Type="http://schemas.openxmlformats.org/officeDocument/2006/relationships/hyperlink" Target="https://raw.githubusercontent.com/ItsCryp7iC/Genshin-Image-Hosting/main/TalentBooks/TeachingsofEquity.png" TargetMode="External"/><Relationship Id="rId1054" Type="http://schemas.openxmlformats.org/officeDocument/2006/relationships/image" Target="../media/image524.png"/><Relationship Id="rId936" Type="http://schemas.openxmlformats.org/officeDocument/2006/relationships/image" Target="../media/image465.png"/><Relationship Id="rId1121" Type="http://schemas.openxmlformats.org/officeDocument/2006/relationships/hyperlink" Target="https://raw.githubusercontent.com/ItsCryp7iC/Genshin-Image-Hosting/main/Weapons/WolfFang.png" TargetMode="External"/><Relationship Id="rId65" Type="http://schemas.openxmlformats.org/officeDocument/2006/relationships/hyperlink" Target="https://raw.githubusercontent.com/ItsCryp7iC/Genshin-Image-Hosting/main/WeeklyBoss/DvalinsClaw.png" TargetMode="External"/><Relationship Id="rId281" Type="http://schemas.openxmlformats.org/officeDocument/2006/relationships/hyperlink" Target="https://raw.githubusercontent.com/ItsCryp7iC/Genshin-Image-Hosting/main/Characters/Kaeya.png" TargetMode="External"/><Relationship Id="rId141" Type="http://schemas.openxmlformats.org/officeDocument/2006/relationships/hyperlink" Target="https://raw.githubusercontent.com/ItsCryp7iC/Genshin-Image-Hosting/main/MonsterDrops/3Star/SlimeConcentrate.png" TargetMode="External"/><Relationship Id="rId379" Type="http://schemas.openxmlformats.org/officeDocument/2006/relationships/hyperlink" Target="https://raw.githubusercontent.com/ItsCryp7iC/Genshin-Image-Hosting/main/TalentBooks/TeachingsofProsperity.png" TargetMode="External"/><Relationship Id="rId586" Type="http://schemas.openxmlformats.org/officeDocument/2006/relationships/image" Target="../media/image290.png"/><Relationship Id="rId793" Type="http://schemas.openxmlformats.org/officeDocument/2006/relationships/hyperlink" Target="https://raw.githubusercontent.com/ItsCryp7iC/Genshin-Image-Hosting/main/Characters/Navia.png" TargetMode="External"/><Relationship Id="rId7" Type="http://schemas.openxmlformats.org/officeDocument/2006/relationships/hyperlink" Target="https://raw.githubusercontent.com/ItsCryp7iC/Genshin-Image-Hosting/main/Elements/geo.png" TargetMode="External"/><Relationship Id="rId239" Type="http://schemas.openxmlformats.org/officeDocument/2006/relationships/hyperlink" Target="https://raw.githubusercontent.com/ItsCryp7iC/Genshin-Image-Hosting/main/MonsterDrops/1Star/WhopperflowerNectar.png" TargetMode="External"/><Relationship Id="rId446" Type="http://schemas.openxmlformats.org/officeDocument/2006/relationships/image" Target="../media/image223.png"/><Relationship Id="rId653" Type="http://schemas.openxmlformats.org/officeDocument/2006/relationships/hyperlink" Target="https://raw.githubusercontent.com/ItsCryp7iC/Genshin-Image-Hosting/main/Weapons/DragonspineSpear.png" TargetMode="External"/><Relationship Id="rId1076" Type="http://schemas.openxmlformats.org/officeDocument/2006/relationships/image" Target="../media/image535.png"/><Relationship Id="rId306" Type="http://schemas.openxmlformats.org/officeDocument/2006/relationships/image" Target="../media/image153.png"/><Relationship Id="rId860" Type="http://schemas.openxmlformats.org/officeDocument/2006/relationships/image" Target="../media/image427.png"/><Relationship Id="rId958" Type="http://schemas.openxmlformats.org/officeDocument/2006/relationships/image" Target="../media/image476.png"/><Relationship Id="rId87" Type="http://schemas.openxmlformats.org/officeDocument/2006/relationships/hyperlink" Target="https://raw.githubusercontent.com/ItsCryp7iC/Genshin-Image-Hosting/main/Experience/FineEnhancementOre.png" TargetMode="External"/><Relationship Id="rId513" Type="http://schemas.openxmlformats.org/officeDocument/2006/relationships/image" Target="../media/image255.png"/><Relationship Id="rId720" Type="http://schemas.openxmlformats.org/officeDocument/2006/relationships/image" Target="../media/image357.png"/><Relationship Id="rId818" Type="http://schemas.openxmlformats.org/officeDocument/2006/relationships/image" Target="../media/image406.png"/><Relationship Id="rId1003" Type="http://schemas.openxmlformats.org/officeDocument/2006/relationships/hyperlink" Target="https://raw.githubusercontent.com/ItsCryp7iC/Genshin-Image-Hosting/main/Weapons/Rust.png" TargetMode="External"/><Relationship Id="rId14" Type="http://schemas.openxmlformats.org/officeDocument/2006/relationships/image" Target="../media/image7.png"/><Relationship Id="rId163" Type="http://schemas.openxmlformats.org/officeDocument/2006/relationships/hyperlink" Target="https://raw.githubusercontent.com/ItsCryp7iC/Genshin-Image-Hosting/main/WeeklyBoss/Everamber.png" TargetMode="External"/><Relationship Id="rId370" Type="http://schemas.openxmlformats.org/officeDocument/2006/relationships/image" Target="../media/image185.png"/><Relationship Id="rId230" Type="http://schemas.openxmlformats.org/officeDocument/2006/relationships/image" Target="../media/image115.png"/><Relationship Id="rId468" Type="http://schemas.openxmlformats.org/officeDocument/2006/relationships/image" Target="../media/image234.png"/><Relationship Id="rId675" Type="http://schemas.openxmlformats.org/officeDocument/2006/relationships/hyperlink" Target="https://raw.githubusercontent.com/ItsCryp7iC/Genshin-Image-Hosting/main/Characters/Sethos.png" TargetMode="External"/><Relationship Id="rId882" Type="http://schemas.openxmlformats.org/officeDocument/2006/relationships/image" Target="../media/image438.png"/><Relationship Id="rId1098" Type="http://schemas.openxmlformats.org/officeDocument/2006/relationships/image" Target="../media/image546.png"/><Relationship Id="rId25" Type="http://schemas.openxmlformats.org/officeDocument/2006/relationships/hyperlink" Target="https://raw.githubusercontent.com/ItsCryp7iC/Genshin-Image-Hosting/main/MonsterDrops/3Star/OminousMask.png" TargetMode="External"/><Relationship Id="rId328" Type="http://schemas.openxmlformats.org/officeDocument/2006/relationships/image" Target="../media/image164.png"/><Relationship Id="rId535" Type="http://schemas.openxmlformats.org/officeDocument/2006/relationships/image" Target="../media/image265.png"/><Relationship Id="rId742" Type="http://schemas.openxmlformats.org/officeDocument/2006/relationships/image" Target="../media/image368.png"/><Relationship Id="rId174" Type="http://schemas.openxmlformats.org/officeDocument/2006/relationships/image" Target="../media/image87.png"/><Relationship Id="rId381" Type="http://schemas.openxmlformats.org/officeDocument/2006/relationships/hyperlink" Target="https://raw.githubusercontent.com/ItsCryp7iC/Genshin-Image-Hosting/main/LocalSpecialties/JueyunChili.png" TargetMode="External"/><Relationship Id="rId602" Type="http://schemas.openxmlformats.org/officeDocument/2006/relationships/image" Target="../media/image298.png"/><Relationship Id="rId1025" Type="http://schemas.openxmlformats.org/officeDocument/2006/relationships/hyperlink" Target="https://raw.githubusercontent.com/ItsCryp7iC/Genshin-Image-Hosting/main/Weapons/SkyriderSword.png" TargetMode="External"/><Relationship Id="rId241" Type="http://schemas.openxmlformats.org/officeDocument/2006/relationships/hyperlink" Target="https://raw.githubusercontent.com/ItsCryp7iC/Genshin-Image-Hosting/main/TalentBooks/TeachingsofFreedom.png" TargetMode="External"/><Relationship Id="rId479" Type="http://schemas.openxmlformats.org/officeDocument/2006/relationships/hyperlink" Target="https://raw.githubusercontent.com/ItsCryp7iC/Genshin-Image-Hosting/main/Weapons/CalamityQueller.png" TargetMode="External"/><Relationship Id="rId686" Type="http://schemas.openxmlformats.org/officeDocument/2006/relationships/image" Target="../media/image340.png"/><Relationship Id="rId893" Type="http://schemas.openxmlformats.org/officeDocument/2006/relationships/hyperlink" Target="https://raw.githubusercontent.com/ItsCryp7iC/Genshin-Image-Hosting/main/Characters/YaeMiko.png" TargetMode="External"/><Relationship Id="rId907" Type="http://schemas.openxmlformats.org/officeDocument/2006/relationships/hyperlink" Target="https://raw.githubusercontent.com/ItsCryp7iC/Genshin-Image-Hosting/main/Weapons/LuxuriousSeaLord.png" TargetMode="External"/><Relationship Id="rId36" Type="http://schemas.openxmlformats.org/officeDocument/2006/relationships/image" Target="../media/image18.png"/><Relationship Id="rId339" Type="http://schemas.openxmlformats.org/officeDocument/2006/relationships/hyperlink" Target="https://raw.githubusercontent.com/ItsCryp7iC/Genshin-Image-Hosting/main/TalentBooks/GuidetoGold.png" TargetMode="External"/><Relationship Id="rId546" Type="http://schemas.openxmlformats.org/officeDocument/2006/relationships/image" Target="../media/image270.png"/><Relationship Id="rId753" Type="http://schemas.openxmlformats.org/officeDocument/2006/relationships/hyperlink" Target="https://raw.githubusercontent.com/ItsCryp7iC/Genshin-Image-Hosting/main/Weapons/FavoniusWarbow.png" TargetMode="External"/><Relationship Id="rId101" Type="http://schemas.openxmlformats.org/officeDocument/2006/relationships/hyperlink" Target="https://raw.githubusercontent.com/ItsCryp7iC/Genshin-Image-Hosting/main/Gems/AgnidusAgateGemstone.png" TargetMode="External"/><Relationship Id="rId185" Type="http://schemas.openxmlformats.org/officeDocument/2006/relationships/hyperlink" Target="https://raw.githubusercontent.com/ItsCryp7iC/Genshin-Image-Hosting/main/Gems/AgnidusAgateSilver.png" TargetMode="External"/><Relationship Id="rId406" Type="http://schemas.openxmlformats.org/officeDocument/2006/relationships/image" Target="../media/image203.png"/><Relationship Id="rId960" Type="http://schemas.openxmlformats.org/officeDocument/2006/relationships/image" Target="../media/image477.png"/><Relationship Id="rId1036" Type="http://schemas.openxmlformats.org/officeDocument/2006/relationships/image" Target="../media/image515.png"/><Relationship Id="rId392" Type="http://schemas.openxmlformats.org/officeDocument/2006/relationships/image" Target="../media/image196.png"/><Relationship Id="rId613" Type="http://schemas.openxmlformats.org/officeDocument/2006/relationships/hyperlink" Target="https://raw.githubusercontent.com/ItsCryp7iC/Genshin-Image-Hosting/main/Weapons/DebateClub.png" TargetMode="External"/><Relationship Id="rId697" Type="http://schemas.openxmlformats.org/officeDocument/2006/relationships/hyperlink" Target="https://raw.githubusercontent.com/ItsCryp7iC/Genshin-Image-Hosting/main/Characters/Tighnari.png" TargetMode="External"/><Relationship Id="rId820" Type="http://schemas.openxmlformats.org/officeDocument/2006/relationships/image" Target="../media/image407.png"/><Relationship Id="rId918" Type="http://schemas.openxmlformats.org/officeDocument/2006/relationships/image" Target="../media/image456.png"/><Relationship Id="rId252" Type="http://schemas.openxmlformats.org/officeDocument/2006/relationships/image" Target="../media/image126.png"/><Relationship Id="rId1103" Type="http://schemas.openxmlformats.org/officeDocument/2006/relationships/hyperlink" Target="https://raw.githubusercontent.com/ItsCryp7iC/Genshin-Image-Hosting/main/Weapons/Verdict.png" TargetMode="External"/><Relationship Id="rId47" Type="http://schemas.openxmlformats.org/officeDocument/2006/relationships/hyperlink" Target="https://raw.githubusercontent.com/ItsCryp7iC/Genshin-Image-Hosting/main/Characters/Alhaitham.png" TargetMode="External"/><Relationship Id="rId112" Type="http://schemas.openxmlformats.org/officeDocument/2006/relationships/image" Target="../media/image56.png"/><Relationship Id="rId557" Type="http://schemas.openxmlformats.org/officeDocument/2006/relationships/hyperlink" Target="https://raw.githubusercontent.com/ItsCryp7iC/Genshin-Image-Hosting/main/TalentBooks/GuidetoElegance.png" TargetMode="External"/><Relationship Id="rId764" Type="http://schemas.openxmlformats.org/officeDocument/2006/relationships/image" Target="../media/image379.png"/><Relationship Id="rId971" Type="http://schemas.openxmlformats.org/officeDocument/2006/relationships/hyperlink" Target="https://raw.githubusercontent.com/ItsCryp7iC/Genshin-Image-Hosting/main/Weapons/PrototypeAmber.png" TargetMode="External"/><Relationship Id="rId196" Type="http://schemas.openxmlformats.org/officeDocument/2006/relationships/image" Target="../media/image98.png"/><Relationship Id="rId417" Type="http://schemas.openxmlformats.org/officeDocument/2006/relationships/hyperlink" Target="https://raw.githubusercontent.com/ItsCryp7iC/Genshin-Image-Hosting/main/WorldBoss/DragonheirsFalseFin.png" TargetMode="External"/><Relationship Id="rId624" Type="http://schemas.openxmlformats.org/officeDocument/2006/relationships/image" Target="../media/image309.png"/><Relationship Id="rId831" Type="http://schemas.openxmlformats.org/officeDocument/2006/relationships/hyperlink" Target="https://raw.githubusercontent.com/ItsCryp7iC/Genshin-Image-Hosting/main/Weapons/Hamayumi.png" TargetMode="External"/><Relationship Id="rId1047" Type="http://schemas.openxmlformats.org/officeDocument/2006/relationships/hyperlink" Target="https://raw.githubusercontent.com/ItsCryp7iC/Genshin-Image-Hosting/main/Weapons/SplendorofTranquilWaters.png" TargetMode="External"/><Relationship Id="rId263" Type="http://schemas.openxmlformats.org/officeDocument/2006/relationships/hyperlink" Target="https://raw.githubusercontent.com/ItsCryp7iC/Genshin-Image-Hosting/main/LocalSpecialties/SeaGanoderma.png" TargetMode="External"/><Relationship Id="rId470" Type="http://schemas.openxmlformats.org/officeDocument/2006/relationships/image" Target="../media/image235.png"/><Relationship Id="rId929" Type="http://schemas.openxmlformats.org/officeDocument/2006/relationships/hyperlink" Target="https://raw.githubusercontent.com/ItsCryp7iC/Genshin-Image-Hosting/main/Characters/Shenhe.png" TargetMode="External"/><Relationship Id="rId1114" Type="http://schemas.openxmlformats.org/officeDocument/2006/relationships/image" Target="../media/image554.png"/><Relationship Id="rId58" Type="http://schemas.openxmlformats.org/officeDocument/2006/relationships/image" Target="../media/image29.png"/><Relationship Id="rId123" Type="http://schemas.openxmlformats.org/officeDocument/2006/relationships/hyperlink" Target="https://raw.githubusercontent.com/ItsCryp7iC/Genshin-Image-Hosting/main/WeaponMaterials/FragmentofDecarabiansEpic.png" TargetMode="External"/><Relationship Id="rId330" Type="http://schemas.openxmlformats.org/officeDocument/2006/relationships/image" Target="../media/image165.png"/><Relationship Id="rId568" Type="http://schemas.openxmlformats.org/officeDocument/2006/relationships/image" Target="../media/image281.png"/><Relationship Id="rId775" Type="http://schemas.openxmlformats.org/officeDocument/2006/relationships/hyperlink" Target="https://raw.githubusercontent.com/ItsCryp7iC/Genshin-Image-Hosting/main/Characters/Freminet.png" TargetMode="External"/><Relationship Id="rId982" Type="http://schemas.openxmlformats.org/officeDocument/2006/relationships/image" Target="../media/image488.png"/><Relationship Id="rId428" Type="http://schemas.openxmlformats.org/officeDocument/2006/relationships/image" Target="../media/image214.png"/><Relationship Id="rId635" Type="http://schemas.openxmlformats.org/officeDocument/2006/relationships/hyperlink" Target="https://raw.githubusercontent.com/ItsCryp7iC/Genshin-Image-Hosting/main/TalentBooks/GuidetoAdmonition.png" TargetMode="External"/><Relationship Id="rId842" Type="http://schemas.openxmlformats.org/officeDocument/2006/relationships/image" Target="../media/image418.png"/><Relationship Id="rId1058" Type="http://schemas.openxmlformats.org/officeDocument/2006/relationships/image" Target="../media/image526.png"/><Relationship Id="rId274" Type="http://schemas.openxmlformats.org/officeDocument/2006/relationships/image" Target="../media/image137.png"/><Relationship Id="rId481" Type="http://schemas.openxmlformats.org/officeDocument/2006/relationships/hyperlink" Target="https://raw.githubusercontent.com/ItsCryp7iC/Genshin-Image-Hosting/main/WeaponMaterials/MistVeiledGoldElixir.png" TargetMode="External"/><Relationship Id="rId702" Type="http://schemas.openxmlformats.org/officeDocument/2006/relationships/image" Target="../media/image348.png"/><Relationship Id="rId1125" Type="http://schemas.openxmlformats.org/officeDocument/2006/relationships/hyperlink" Target="https://raw.githubusercontent.com/ItsCryp7iC/Genshin-Image-Hosting/main/Weapons/XiphosMoonlight.png" TargetMode="External"/><Relationship Id="rId69" Type="http://schemas.openxmlformats.org/officeDocument/2006/relationships/hyperlink" Target="https://raw.githubusercontent.com/ItsCryp7iC/Genshin-Image-Hosting/main/MonsterDrops/2Star/SharpArrowhead.png" TargetMode="External"/><Relationship Id="rId134" Type="http://schemas.openxmlformats.org/officeDocument/2006/relationships/image" Target="../media/image67.png"/><Relationship Id="rId579" Type="http://schemas.openxmlformats.org/officeDocument/2006/relationships/hyperlink" Target="https://raw.githubusercontent.com/ItsCryp7iC/Genshin-Image-Hosting/main/Characters/Amber.png" TargetMode="External"/><Relationship Id="rId786" Type="http://schemas.openxmlformats.org/officeDocument/2006/relationships/image" Target="../media/image390.png"/><Relationship Id="rId993" Type="http://schemas.openxmlformats.org/officeDocument/2006/relationships/hyperlink" Target="https://raw.githubusercontent.com/ItsCryp7iC/Genshin-Image-Hosting/main/Weapons/RoyalBow.png" TargetMode="External"/><Relationship Id="rId341" Type="http://schemas.openxmlformats.org/officeDocument/2006/relationships/hyperlink" Target="https://raw.githubusercontent.com/ItsCryp7iC/Genshin-Image-Hosting/main/LocalSpecialties/GlazeLily.png" TargetMode="External"/><Relationship Id="rId439" Type="http://schemas.openxmlformats.org/officeDocument/2006/relationships/hyperlink" Target="https://raw.githubusercontent.com/ItsCryp7iC/Genshin-Image-Hosting/main/Characters/Nilou.png" TargetMode="External"/><Relationship Id="rId646" Type="http://schemas.openxmlformats.org/officeDocument/2006/relationships/image" Target="../media/image320.png"/><Relationship Id="rId1069" Type="http://schemas.openxmlformats.org/officeDocument/2006/relationships/hyperlink" Target="https://raw.githubusercontent.com/ItsCryp7iC/Genshin-Image-Hosting/main/Weapons/TheDockhandsAssistant.png" TargetMode="External"/><Relationship Id="rId201" Type="http://schemas.openxmlformats.org/officeDocument/2006/relationships/hyperlink" Target="https://raw.githubusercontent.com/ItsCryp7iC/Genshin-Image-Hosting/main/WeeklyBoss/LightlessMass.png" TargetMode="External"/><Relationship Id="rId285" Type="http://schemas.openxmlformats.org/officeDocument/2006/relationships/hyperlink" Target="https://raw.githubusercontent.com/ItsCryp7iC/Genshin-Image-Hosting/main/MonsterDrops/2Star/SpectralHeart.png" TargetMode="External"/><Relationship Id="rId506" Type="http://schemas.openxmlformats.org/officeDocument/2006/relationships/hyperlink" Target="https://raw.githubusercontent.com/ItsCryp7iC/Genshin-Image-Hosting/main/WeeklyBoss/PrimordialGreenbloom.png" TargetMode="External"/><Relationship Id="rId853" Type="http://schemas.openxmlformats.org/officeDocument/2006/relationships/hyperlink" Target="https://raw.githubusercontent.com/ItsCryp7iC/Genshin-Image-Hosting/main/Characters/Mona.png" TargetMode="External"/><Relationship Id="rId492" Type="http://schemas.openxmlformats.org/officeDocument/2006/relationships/hyperlink" Target="https://raw.githubusercontent.com/ItsCryp7iC/Genshin-Image-Hosting/main/WeaponMaterials/MistVeiledPrimoElixir.png" TargetMode="External"/><Relationship Id="rId713" Type="http://schemas.openxmlformats.org/officeDocument/2006/relationships/hyperlink" Target="https://raw.githubusercontent.com/ItsCryp7iC/Genshin-Image-Hosting/main/Characters/Yelan.png" TargetMode="External"/><Relationship Id="rId797" Type="http://schemas.openxmlformats.org/officeDocument/2006/relationships/hyperlink" Target="https://raw.githubusercontent.com/ItsCryp7iC/Genshin-Image-Hosting/main/WeaponMaterials/DrossofPureSacredDewdrop.png" TargetMode="External"/><Relationship Id="rId920" Type="http://schemas.openxmlformats.org/officeDocument/2006/relationships/image" Target="../media/image457.png"/><Relationship Id="rId145" Type="http://schemas.openxmlformats.org/officeDocument/2006/relationships/hyperlink" Target="https://raw.githubusercontent.com/ItsCryp7iC/Genshin-Image-Hosting/main/MonsterDrops/1Star/SlimeCondensate.png" TargetMode="External"/><Relationship Id="rId352" Type="http://schemas.openxmlformats.org/officeDocument/2006/relationships/image" Target="../media/image176.png"/><Relationship Id="rId212" Type="http://schemas.openxmlformats.org/officeDocument/2006/relationships/image" Target="../media/image106.png"/><Relationship Id="rId657" Type="http://schemas.openxmlformats.org/officeDocument/2006/relationships/hyperlink" Target="https://raw.githubusercontent.com/ItsCryp7iC/Genshin-Image-Hosting/main/Characters/KujouSara.png" TargetMode="External"/><Relationship Id="rId864" Type="http://schemas.openxmlformats.org/officeDocument/2006/relationships/image" Target="../media/image429.png"/><Relationship Id="rId296" Type="http://schemas.openxmlformats.org/officeDocument/2006/relationships/image" Target="../media/image148.png"/><Relationship Id="rId517" Type="http://schemas.openxmlformats.org/officeDocument/2006/relationships/image" Target="../media/image257.png"/><Relationship Id="rId724" Type="http://schemas.openxmlformats.org/officeDocument/2006/relationships/image" Target="../media/image359.png"/><Relationship Id="rId931" Type="http://schemas.openxmlformats.org/officeDocument/2006/relationships/hyperlink" Target="https://raw.githubusercontent.com/ItsCryp7iC/Genshin-Image-Hosting/main/Weapons/Messenger.png" TargetMode="External"/><Relationship Id="rId60" Type="http://schemas.openxmlformats.org/officeDocument/2006/relationships/image" Target="../media/image30.png"/><Relationship Id="rId156" Type="http://schemas.openxmlformats.org/officeDocument/2006/relationships/image" Target="../media/image78.png"/><Relationship Id="rId363" Type="http://schemas.openxmlformats.org/officeDocument/2006/relationships/hyperlink" Target="https://raw.githubusercontent.com/ItsCryp7iC/Genshin-Image-Hosting/main/Characters/Kirara.png" TargetMode="External"/><Relationship Id="rId570" Type="http://schemas.openxmlformats.org/officeDocument/2006/relationships/image" Target="../media/image282.png"/><Relationship Id="rId1007" Type="http://schemas.openxmlformats.org/officeDocument/2006/relationships/hyperlink" Target="https://raw.githubusercontent.com/ItsCryp7iC/Genshin-Image-Hosting/main/Weapons/SacrificialFragments.png" TargetMode="External"/><Relationship Id="rId223" Type="http://schemas.openxmlformats.org/officeDocument/2006/relationships/hyperlink" Target="https://raw.githubusercontent.com/ItsCryp7iC/Genshin-Image-Hosting/main/Weapons/AquaSimulacra.png" TargetMode="External"/><Relationship Id="rId430" Type="http://schemas.openxmlformats.org/officeDocument/2006/relationships/image" Target="../media/image215.png"/><Relationship Id="rId668" Type="http://schemas.openxmlformats.org/officeDocument/2006/relationships/image" Target="../media/image331.png"/><Relationship Id="rId875" Type="http://schemas.openxmlformats.org/officeDocument/2006/relationships/hyperlink" Target="https://raw.githubusercontent.com/ItsCryp7iC/Genshin-Image-Hosting/main/Weapons/KeyofKhajNisut.png" TargetMode="External"/><Relationship Id="rId1060" Type="http://schemas.openxmlformats.org/officeDocument/2006/relationships/image" Target="../media/image527.png"/><Relationship Id="rId18" Type="http://schemas.openxmlformats.org/officeDocument/2006/relationships/image" Target="../media/image9.png"/><Relationship Id="rId528" Type="http://schemas.openxmlformats.org/officeDocument/2006/relationships/hyperlink" Target="https://raw.githubusercontent.com/ItsCryp7iC/Genshin-Image-Hosting/main/WeeklyBoss/WorldspanFern.png" TargetMode="External"/><Relationship Id="rId735" Type="http://schemas.openxmlformats.org/officeDocument/2006/relationships/hyperlink" Target="https://raw.githubusercontent.com/ItsCryp7iC/Genshin-Image-Hosting/main/WeaponMaterials/OasisGardensMourning.png" TargetMode="External"/><Relationship Id="rId942" Type="http://schemas.openxmlformats.org/officeDocument/2006/relationships/image" Target="../media/image468.png"/><Relationship Id="rId167" Type="http://schemas.openxmlformats.org/officeDocument/2006/relationships/hyperlink" Target="https://raw.githubusercontent.com/ItsCryp7iC/Genshin-Image-Hosting/main/MonsterDrops/3Star/XenochromaticCrystal.png" TargetMode="External"/><Relationship Id="rId374" Type="http://schemas.openxmlformats.org/officeDocument/2006/relationships/image" Target="../media/image187.png"/><Relationship Id="rId581" Type="http://schemas.openxmlformats.org/officeDocument/2006/relationships/hyperlink" Target="https://raw.githubusercontent.com/ItsCryp7iC/Genshin-Image-Hosting/main/LocalSpecialties/SmallLampGrass.png" TargetMode="External"/><Relationship Id="rId1018" Type="http://schemas.openxmlformats.org/officeDocument/2006/relationships/image" Target="../media/image506.png"/><Relationship Id="rId71" Type="http://schemas.openxmlformats.org/officeDocument/2006/relationships/hyperlink" Target="https://raw.githubusercontent.com/ItsCryp7iC/Genshin-Image-Hosting/main/MonsterDrops/1Star/FirmArrowhead.png" TargetMode="External"/><Relationship Id="rId234" Type="http://schemas.openxmlformats.org/officeDocument/2006/relationships/image" Target="../media/image117.png"/><Relationship Id="rId679" Type="http://schemas.openxmlformats.org/officeDocument/2006/relationships/hyperlink" Target="https://raw.githubusercontent.com/ItsCryp7iC/Genshin-Image-Hosting/main/TalentBooks/TeachingsofJustice.png" TargetMode="External"/><Relationship Id="rId802" Type="http://schemas.openxmlformats.org/officeDocument/2006/relationships/image" Target="../media/image398.png"/><Relationship Id="rId886" Type="http://schemas.openxmlformats.org/officeDocument/2006/relationships/image" Target="../media/image440.png"/><Relationship Id="rId2" Type="http://schemas.openxmlformats.org/officeDocument/2006/relationships/image" Target="../media/image1.png"/><Relationship Id="rId29" Type="http://schemas.openxmlformats.org/officeDocument/2006/relationships/hyperlink" Target="https://raw.githubusercontent.com/ItsCryp7iC/Genshin-Image-Hosting/main/MonsterDrops/1Star/DamagedMask.png" TargetMode="External"/><Relationship Id="rId441" Type="http://schemas.openxmlformats.org/officeDocument/2006/relationships/hyperlink" Target="https://raw.githubusercontent.com/ItsCryp7iC/Genshin-Image-Hosting/main/TalentBooks/PhilosophiesofPraxis.png" TargetMode="External"/><Relationship Id="rId539" Type="http://schemas.openxmlformats.org/officeDocument/2006/relationships/hyperlink" Target="https://raw.githubusercontent.com/ItsCryp7iC/Genshin-Image-Hosting/main/TalentBooks/TeachingsofElegance.png" TargetMode="External"/><Relationship Id="rId746" Type="http://schemas.openxmlformats.org/officeDocument/2006/relationships/image" Target="../media/image370.png"/><Relationship Id="rId1071" Type="http://schemas.openxmlformats.org/officeDocument/2006/relationships/hyperlink" Target="https://raw.githubusercontent.com/ItsCryp7iC/Genshin-Image-Hosting/main/Weapons/TheFirstGreatMagic.png" TargetMode="External"/><Relationship Id="rId178" Type="http://schemas.openxmlformats.org/officeDocument/2006/relationships/image" Target="../media/image89.png"/><Relationship Id="rId301" Type="http://schemas.openxmlformats.org/officeDocument/2006/relationships/hyperlink" Target="https://raw.githubusercontent.com/ItsCryp7iC/Genshin-Image-Hosting/main/WorldBoss/PerpetualHeart.png" TargetMode="External"/><Relationship Id="rId953" Type="http://schemas.openxmlformats.org/officeDocument/2006/relationships/hyperlink" Target="https://raw.githubusercontent.com/ItsCryp7iC/Genshin-Image-Hosting/main/Characters/Zhongli.png" TargetMode="External"/><Relationship Id="rId1029" Type="http://schemas.openxmlformats.org/officeDocument/2006/relationships/hyperlink" Target="https://raw.githubusercontent.com/ItsCryp7iC/Genshin-Image-Hosting/main/Weapons/SkywardBlade.png" TargetMode="External"/><Relationship Id="rId82" Type="http://schemas.openxmlformats.org/officeDocument/2006/relationships/image" Target="../media/image41.png"/><Relationship Id="rId385" Type="http://schemas.openxmlformats.org/officeDocument/2006/relationships/hyperlink" Target="https://raw.githubusercontent.com/ItsCryp7iC/Genshin-Image-Hosting/main/Weapons/BlackcliffLongsword.png" TargetMode="External"/><Relationship Id="rId592" Type="http://schemas.openxmlformats.org/officeDocument/2006/relationships/image" Target="../media/image293.png"/><Relationship Id="rId606" Type="http://schemas.openxmlformats.org/officeDocument/2006/relationships/image" Target="../media/image300.png"/><Relationship Id="rId813" Type="http://schemas.openxmlformats.org/officeDocument/2006/relationships/hyperlink" Target="https://raw.githubusercontent.com/ItsCryp7iC/Genshin-Image-Hosting/main/Weapons/FruitofFulfillment.png" TargetMode="External"/><Relationship Id="rId245" Type="http://schemas.openxmlformats.org/officeDocument/2006/relationships/hyperlink" Target="https://raw.githubusercontent.com/ItsCryp7iC/Genshin-Image-Hosting/main/Gems/AgnidusAgateChunk.png" TargetMode="External"/><Relationship Id="rId452" Type="http://schemas.openxmlformats.org/officeDocument/2006/relationships/image" Target="../media/image226.png"/><Relationship Id="rId897" Type="http://schemas.openxmlformats.org/officeDocument/2006/relationships/hyperlink" Target="https://raw.githubusercontent.com/ItsCryp7iC/Genshin-Image-Hosting/main/Characters/Yanfei.png" TargetMode="External"/><Relationship Id="rId1082" Type="http://schemas.openxmlformats.org/officeDocument/2006/relationships/image" Target="../media/image538.png"/><Relationship Id="rId105" Type="http://schemas.openxmlformats.org/officeDocument/2006/relationships/hyperlink" Target="https://raw.githubusercontent.com/ItsCryp7iC/Genshin-Image-Hosting/main/WeeklyBoss/DvalinsSigh.png" TargetMode="External"/><Relationship Id="rId312" Type="http://schemas.openxmlformats.org/officeDocument/2006/relationships/image" Target="../media/image156.png"/><Relationship Id="rId757" Type="http://schemas.openxmlformats.org/officeDocument/2006/relationships/hyperlink" Target="https://raw.githubusercontent.com/ItsCryp7iC/Genshin-Image-Hosting/main/Characters/Diluc.png" TargetMode="External"/><Relationship Id="rId964" Type="http://schemas.openxmlformats.org/officeDocument/2006/relationships/image" Target="../media/image479.png"/><Relationship Id="rId93" Type="http://schemas.openxmlformats.org/officeDocument/2006/relationships/hyperlink" Target="https://raw.githubusercontent.com/ItsCryp7iC/Genshin-Image-Hosting/main/WorldBoss/EverflameSeed.png" TargetMode="External"/><Relationship Id="rId189" Type="http://schemas.openxmlformats.org/officeDocument/2006/relationships/hyperlink" Target="https://raw.githubusercontent.com/ItsCryp7iC/Genshin-Image-Hosting/main/Billets/catalyst.png" TargetMode="External"/><Relationship Id="rId396" Type="http://schemas.openxmlformats.org/officeDocument/2006/relationships/image" Target="../media/image198.png"/><Relationship Id="rId617" Type="http://schemas.openxmlformats.org/officeDocument/2006/relationships/hyperlink" Target="https://raw.githubusercontent.com/ItsCryp7iC/Genshin-Image-Hosting/main/Characters/Faruzan.png" TargetMode="External"/><Relationship Id="rId824" Type="http://schemas.openxmlformats.org/officeDocument/2006/relationships/image" Target="../media/image409.png"/><Relationship Id="rId256" Type="http://schemas.openxmlformats.org/officeDocument/2006/relationships/image" Target="../media/image128.png"/><Relationship Id="rId463" Type="http://schemas.openxmlformats.org/officeDocument/2006/relationships/hyperlink" Target="https://raw.githubusercontent.com/ItsCryp7iC/Genshin-Image-Hosting/main/LocalSpecialties/MourningFlower.png" TargetMode="External"/><Relationship Id="rId670" Type="http://schemas.openxmlformats.org/officeDocument/2006/relationships/image" Target="../media/image332.png"/><Relationship Id="rId1093" Type="http://schemas.openxmlformats.org/officeDocument/2006/relationships/hyperlink" Target="https://raw.githubusercontent.com/ItsCryp7iC/Genshin-Image-Hosting/main/Weapons/TravelersHandySword.png" TargetMode="External"/><Relationship Id="rId1107" Type="http://schemas.openxmlformats.org/officeDocument/2006/relationships/hyperlink" Target="https://raw.githubusercontent.com/ItsCryp7iC/Genshin-Image-Hosting/main/Weapons/WanderingEvenstar.png" TargetMode="External"/><Relationship Id="rId116" Type="http://schemas.openxmlformats.org/officeDocument/2006/relationships/image" Target="../media/image58.png"/><Relationship Id="rId323" Type="http://schemas.openxmlformats.org/officeDocument/2006/relationships/hyperlink" Target="https://raw.githubusercontent.com/ItsCryp7iC/Genshin-Image-Hosting/main/Weapons/BalladoftheFjords.png" TargetMode="External"/><Relationship Id="rId530" Type="http://schemas.openxmlformats.org/officeDocument/2006/relationships/hyperlink" Target="https://raw.githubusercontent.com/ItsCryp7iC/Genshin-Image-Hosting/main/LocalSpecialties/PhilanemoMushroom.png" TargetMode="External"/><Relationship Id="rId768" Type="http://schemas.openxmlformats.org/officeDocument/2006/relationships/image" Target="../media/image381.png"/><Relationship Id="rId975" Type="http://schemas.openxmlformats.org/officeDocument/2006/relationships/hyperlink" Target="https://raw.githubusercontent.com/ItsCryp7iC/Genshin-Image-Hosting/main/Weapons/PrototypeCrescent.png" TargetMode="External"/><Relationship Id="rId20" Type="http://schemas.openxmlformats.org/officeDocument/2006/relationships/image" Target="../media/image10.png"/><Relationship Id="rId628" Type="http://schemas.openxmlformats.org/officeDocument/2006/relationships/image" Target="../media/image311.png"/><Relationship Id="rId835" Type="http://schemas.openxmlformats.org/officeDocument/2006/relationships/hyperlink" Target="https://raw.githubusercontent.com/ItsCryp7iC/Genshin-Image-Hosting/main/Characters/Barbara.png" TargetMode="External"/><Relationship Id="rId267" Type="http://schemas.openxmlformats.org/officeDocument/2006/relationships/hyperlink" Target="https://raw.githubusercontent.com/ItsCryp7iC/Genshin-Image-Hosting/main/WeeklyBoss/ShadowoftheWarrior.png" TargetMode="External"/><Relationship Id="rId474" Type="http://schemas.openxmlformats.org/officeDocument/2006/relationships/image" Target="../media/image237.png"/><Relationship Id="rId1020" Type="http://schemas.openxmlformats.org/officeDocument/2006/relationships/image" Target="../media/image507.png"/><Relationship Id="rId1118" Type="http://schemas.openxmlformats.org/officeDocument/2006/relationships/image" Target="../media/image556.png"/><Relationship Id="rId127" Type="http://schemas.openxmlformats.org/officeDocument/2006/relationships/hyperlink" Target="https://raw.githubusercontent.com/ItsCryp7iC/Genshin-Image-Hosting/main/Characters/Chiori.png" TargetMode="External"/><Relationship Id="rId681" Type="http://schemas.openxmlformats.org/officeDocument/2006/relationships/hyperlink" Target="https://raw.githubusercontent.com/ItsCryp7iC/Genshin-Image-Hosting/main/LocalSpecialties/Starconch.png" TargetMode="External"/><Relationship Id="rId779" Type="http://schemas.openxmlformats.org/officeDocument/2006/relationships/hyperlink" Target="https://raw.githubusercontent.com/ItsCryp7iC/Genshin-Image-Hosting/main/WeaponMaterials/ChapterofanAncientChord.png" TargetMode="External"/><Relationship Id="rId902" Type="http://schemas.openxmlformats.org/officeDocument/2006/relationships/image" Target="../media/image448.png"/><Relationship Id="rId986" Type="http://schemas.openxmlformats.org/officeDocument/2006/relationships/image" Target="../media/image490.png"/><Relationship Id="rId31" Type="http://schemas.openxmlformats.org/officeDocument/2006/relationships/hyperlink" Target="https://raw.githubusercontent.com/ItsCryp7iC/Genshin-Image-Hosting/main/TalentBooks/TeachingsofBallad.png" TargetMode="External"/><Relationship Id="rId334" Type="http://schemas.openxmlformats.org/officeDocument/2006/relationships/image" Target="../media/image167.png"/><Relationship Id="rId541" Type="http://schemas.openxmlformats.org/officeDocument/2006/relationships/hyperlink" Target="https://raw.githubusercontent.com/ItsCryp7iC/Genshin-Image-Hosting/main/LocalSpecialties/Qingxin.png" TargetMode="External"/><Relationship Id="rId639" Type="http://schemas.openxmlformats.org/officeDocument/2006/relationships/hyperlink" Target="https://raw.githubusercontent.com/ItsCryp7iC/Genshin-Image-Hosting/main/Weapons/DodocoTales.png" TargetMode="External"/><Relationship Id="rId180" Type="http://schemas.openxmlformats.org/officeDocument/2006/relationships/image" Target="../media/image90.png"/><Relationship Id="rId278" Type="http://schemas.openxmlformats.org/officeDocument/2006/relationships/image" Target="../media/image139.png"/><Relationship Id="rId401" Type="http://schemas.openxmlformats.org/officeDocument/2006/relationships/hyperlink" Target="https://raw.githubusercontent.com/ItsCryp7iC/Genshin-Image-Hosting/main/TalentBooks/GuidetoProsperity.png" TargetMode="External"/><Relationship Id="rId846" Type="http://schemas.openxmlformats.org/officeDocument/2006/relationships/image" Target="../media/image420.png"/><Relationship Id="rId1031" Type="http://schemas.openxmlformats.org/officeDocument/2006/relationships/hyperlink" Target="https://raw.githubusercontent.com/ItsCryp7iC/Genshin-Image-Hosting/main/Weapons/SkywardHarp.png" TargetMode="External"/><Relationship Id="rId485" Type="http://schemas.openxmlformats.org/officeDocument/2006/relationships/image" Target="../media/image242.png"/><Relationship Id="rId692" Type="http://schemas.openxmlformats.org/officeDocument/2006/relationships/image" Target="../media/image343.png"/><Relationship Id="rId706" Type="http://schemas.openxmlformats.org/officeDocument/2006/relationships/image" Target="../media/image350.png"/><Relationship Id="rId913" Type="http://schemas.openxmlformats.org/officeDocument/2006/relationships/hyperlink" Target="https://raw.githubusercontent.com/ItsCryp7iC/Genshin-Image-Hosting/main/Characters/HuTao.png" TargetMode="External"/><Relationship Id="rId42" Type="http://schemas.openxmlformats.org/officeDocument/2006/relationships/image" Target="../media/image21.png"/><Relationship Id="rId138" Type="http://schemas.openxmlformats.org/officeDocument/2006/relationships/image" Target="../media/image69.png"/><Relationship Id="rId345" Type="http://schemas.openxmlformats.org/officeDocument/2006/relationships/hyperlink" Target="https://raw.githubusercontent.com/ItsCryp7iC/Genshin-Image-Hosting/main/Weapons/BeaconoftheReedSea.png" TargetMode="External"/><Relationship Id="rId552" Type="http://schemas.openxmlformats.org/officeDocument/2006/relationships/image" Target="../media/image273.png"/><Relationship Id="rId997" Type="http://schemas.openxmlformats.org/officeDocument/2006/relationships/hyperlink" Target="https://raw.githubusercontent.com/ItsCryp7iC/Genshin-Image-Hosting/main/Weapons/RoyalGrimoire.png" TargetMode="External"/><Relationship Id="rId191" Type="http://schemas.openxmlformats.org/officeDocument/2006/relationships/hyperlink" Target="https://raw.githubusercontent.com/ItsCryp7iC/Genshin-Image-Hosting/main/Elements/hydro.png" TargetMode="External"/><Relationship Id="rId205" Type="http://schemas.openxmlformats.org/officeDocument/2006/relationships/hyperlink" Target="https://raw.githubusercontent.com/ItsCryp7iC/Genshin-Image-Hosting/main/LocalSpecialties/LakelightLily.png" TargetMode="External"/><Relationship Id="rId412" Type="http://schemas.openxmlformats.org/officeDocument/2006/relationships/image" Target="../media/image206.png"/><Relationship Id="rId857" Type="http://schemas.openxmlformats.org/officeDocument/2006/relationships/hyperlink" Target="https://raw.githubusercontent.com/ItsCryp7iC/Genshin-Image-Hosting/main/Characters/Nahida.png" TargetMode="External"/><Relationship Id="rId1042" Type="http://schemas.openxmlformats.org/officeDocument/2006/relationships/image" Target="../media/image518.png"/><Relationship Id="rId289" Type="http://schemas.openxmlformats.org/officeDocument/2006/relationships/hyperlink" Target="https://raw.githubusercontent.com/ItsCryp7iC/Genshin-Image-Hosting/main/TalentBooks/PhilosophiesofFreedom.png" TargetMode="External"/><Relationship Id="rId496" Type="http://schemas.openxmlformats.org/officeDocument/2006/relationships/image" Target="../media/image247.png"/><Relationship Id="rId717" Type="http://schemas.openxmlformats.org/officeDocument/2006/relationships/hyperlink" Target="https://raw.githubusercontent.com/ItsCryp7iC/Genshin-Image-Hosting/main/Weapons/FadingTwilight.png" TargetMode="External"/><Relationship Id="rId924" Type="http://schemas.openxmlformats.org/officeDocument/2006/relationships/image" Target="../media/image459.png"/><Relationship Id="rId53" Type="http://schemas.openxmlformats.org/officeDocument/2006/relationships/hyperlink" Target="https://raw.githubusercontent.com/ItsCryp7iC/Genshin-Image-Hosting/main/WeeklyBoss/MirrorofMushin.png" TargetMode="External"/><Relationship Id="rId149" Type="http://schemas.openxmlformats.org/officeDocument/2006/relationships/hyperlink" Target="https://raw.githubusercontent.com/ItsCryp7iC/Genshin-Image-Hosting/main/Gems/BrilliantDiamondGemstone.png" TargetMode="External"/><Relationship Id="rId356" Type="http://schemas.openxmlformats.org/officeDocument/2006/relationships/image" Target="../media/image178.png"/><Relationship Id="rId563" Type="http://schemas.openxmlformats.org/officeDocument/2006/relationships/hyperlink" Target="https://raw.githubusercontent.com/ItsCryp7iC/Genshin-Image-Hosting/main/Weapons/CrescentPike.png" TargetMode="External"/><Relationship Id="rId770" Type="http://schemas.openxmlformats.org/officeDocument/2006/relationships/image" Target="../media/image382.png"/><Relationship Id="rId216" Type="http://schemas.openxmlformats.org/officeDocument/2006/relationships/image" Target="../media/image108.png"/><Relationship Id="rId423" Type="http://schemas.openxmlformats.org/officeDocument/2006/relationships/hyperlink" Target="https://raw.githubusercontent.com/ItsCryp7iC/Genshin-Image-Hosting/main/Weapons/BlackcliffSlasher.png" TargetMode="External"/><Relationship Id="rId868" Type="http://schemas.openxmlformats.org/officeDocument/2006/relationships/image" Target="../media/image431.png"/><Relationship Id="rId1053" Type="http://schemas.openxmlformats.org/officeDocument/2006/relationships/hyperlink" Target="https://raw.githubusercontent.com/ItsCryp7iC/Genshin-Image-Hosting/main/Weapons/SummitShaper.png" TargetMode="External"/><Relationship Id="rId630" Type="http://schemas.openxmlformats.org/officeDocument/2006/relationships/image" Target="../media/image312.png"/><Relationship Id="rId728" Type="http://schemas.openxmlformats.org/officeDocument/2006/relationships/image" Target="../media/image361.png"/><Relationship Id="rId935" Type="http://schemas.openxmlformats.org/officeDocument/2006/relationships/hyperlink" Target="https://raw.githubusercontent.com/ItsCryp7iC/Genshin-Image-Hosting/main/Weapons/MissiveWindspear.png" TargetMode="External"/><Relationship Id="rId64" Type="http://schemas.openxmlformats.org/officeDocument/2006/relationships/image" Target="../media/image32.png"/><Relationship Id="rId367" Type="http://schemas.openxmlformats.org/officeDocument/2006/relationships/hyperlink" Target="https://raw.githubusercontent.com/ItsCryp7iC/Genshin-Image-Hosting/main/TalentBooks/PhilosophiesofTransience.png" TargetMode="External"/><Relationship Id="rId574" Type="http://schemas.openxmlformats.org/officeDocument/2006/relationships/image" Target="../media/image284.png"/><Relationship Id="rId1120" Type="http://schemas.openxmlformats.org/officeDocument/2006/relationships/image" Target="../media/image557.png"/><Relationship Id="rId227" Type="http://schemas.openxmlformats.org/officeDocument/2006/relationships/hyperlink" Target="https://raw.githubusercontent.com/ItsCryp7iC/Genshin-Image-Hosting/main/Characters/Jean.png" TargetMode="External"/><Relationship Id="rId781" Type="http://schemas.openxmlformats.org/officeDocument/2006/relationships/hyperlink" Target="https://raw.githubusercontent.com/ItsCryp7iC/Genshin-Image-Hosting/main/Characters/Gaming.png" TargetMode="External"/><Relationship Id="rId879" Type="http://schemas.openxmlformats.org/officeDocument/2006/relationships/hyperlink" Target="https://raw.githubusercontent.com/ItsCryp7iC/Genshin-Image-Hosting/main/Weapons/KingsSquire.png" TargetMode="External"/><Relationship Id="rId434" Type="http://schemas.openxmlformats.org/officeDocument/2006/relationships/image" Target="../media/image217.png"/><Relationship Id="rId641" Type="http://schemas.openxmlformats.org/officeDocument/2006/relationships/hyperlink" Target="https://raw.githubusercontent.com/ItsCryp7iC/Genshin-Image-Hosting/main/WeaponMaterials/NarukamisValor.png" TargetMode="External"/><Relationship Id="rId739" Type="http://schemas.openxmlformats.org/officeDocument/2006/relationships/hyperlink" Target="https://raw.githubusercontent.com/ItsCryp7iC/Genshin-Image-Hosting/main/TalentBooks/GuidetoEquity.png" TargetMode="External"/><Relationship Id="rId1064" Type="http://schemas.openxmlformats.org/officeDocument/2006/relationships/image" Target="../media/image529.png"/><Relationship Id="rId280" Type="http://schemas.openxmlformats.org/officeDocument/2006/relationships/image" Target="../media/image140.png"/><Relationship Id="rId501" Type="http://schemas.openxmlformats.org/officeDocument/2006/relationships/hyperlink" Target="https://raw.githubusercontent.com/ItsCryp7iC/Genshin-Image-Hosting/main/Weapons/CinnabarSpindle.png" TargetMode="External"/><Relationship Id="rId946" Type="http://schemas.openxmlformats.org/officeDocument/2006/relationships/image" Target="../media/image470.png"/><Relationship Id="rId75" Type="http://schemas.openxmlformats.org/officeDocument/2006/relationships/hyperlink" Target="https://raw.githubusercontent.com/ItsCryp7iC/Genshin-Image-Hosting/main/LocalSpecialties/BerylConch.png" TargetMode="External"/><Relationship Id="rId140" Type="http://schemas.openxmlformats.org/officeDocument/2006/relationships/image" Target="../media/image70.png"/><Relationship Id="rId378" Type="http://schemas.openxmlformats.org/officeDocument/2006/relationships/image" Target="../media/image189.png"/><Relationship Id="rId585" Type="http://schemas.openxmlformats.org/officeDocument/2006/relationships/hyperlink" Target="https://raw.githubusercontent.com/ItsCryp7iC/Genshin-Image-Hosting/main/TalentBooks/TeachingsofIngenuity.png" TargetMode="External"/><Relationship Id="rId792" Type="http://schemas.openxmlformats.org/officeDocument/2006/relationships/image" Target="../media/image393.png"/><Relationship Id="rId806" Type="http://schemas.openxmlformats.org/officeDocument/2006/relationships/image" Target="../media/image400.png"/><Relationship Id="rId6" Type="http://schemas.openxmlformats.org/officeDocument/2006/relationships/image" Target="../media/image3.png"/><Relationship Id="rId238" Type="http://schemas.openxmlformats.org/officeDocument/2006/relationships/image" Target="../media/image119.png"/><Relationship Id="rId445" Type="http://schemas.openxmlformats.org/officeDocument/2006/relationships/hyperlink" Target="https://raw.githubusercontent.com/ItsCryp7iC/Genshin-Image-Hosting/main/WorldBoss/ThunderclapFruitcore.png" TargetMode="External"/><Relationship Id="rId652" Type="http://schemas.openxmlformats.org/officeDocument/2006/relationships/image" Target="../media/image323.png"/><Relationship Id="rId1075" Type="http://schemas.openxmlformats.org/officeDocument/2006/relationships/hyperlink" Target="https://raw.githubusercontent.com/ItsCryp7iC/Genshin-Image-Hosting/main/Weapons/TheStringless.png" TargetMode="External"/><Relationship Id="rId291" Type="http://schemas.openxmlformats.org/officeDocument/2006/relationships/hyperlink" Target="https://raw.githubusercontent.com/ItsCryp7iC/Genshin-Image-Hosting/main/LocalSpecialties/Dendrobium.png" TargetMode="External"/><Relationship Id="rId305" Type="http://schemas.openxmlformats.org/officeDocument/2006/relationships/hyperlink" Target="https://raw.githubusercontent.com/ItsCryp7iC/Genshin-Image-Hosting/main/TalentBooks/PhilosophiesofElegance.png" TargetMode="External"/><Relationship Id="rId512" Type="http://schemas.openxmlformats.org/officeDocument/2006/relationships/hyperlink" Target="https://raw.githubusercontent.com/ItsCryp7iC/Genshin-Image-Hosting/main/Gems/VayudaTurquoiseFragment.png" TargetMode="External"/><Relationship Id="rId957" Type="http://schemas.openxmlformats.org/officeDocument/2006/relationships/hyperlink" Target="https://raw.githubusercontent.com/ItsCryp7iC/Genshin-Image-Hosting/main/Weapons/OtherworldlyStory.png" TargetMode="External"/><Relationship Id="rId86" Type="http://schemas.openxmlformats.org/officeDocument/2006/relationships/image" Target="../media/image43.png"/><Relationship Id="rId151" Type="http://schemas.openxmlformats.org/officeDocument/2006/relationships/hyperlink" Target="https://raw.githubusercontent.com/ItsCryp7iC/Genshin-Image-Hosting/main/Misc/characters.png" TargetMode="External"/><Relationship Id="rId389" Type="http://schemas.openxmlformats.org/officeDocument/2006/relationships/hyperlink" Target="https://raw.githubusercontent.com/ItsCryp7iC/Genshin-Image-Hosting/main/Characters/KukiShinobu.png" TargetMode="External"/><Relationship Id="rId596" Type="http://schemas.openxmlformats.org/officeDocument/2006/relationships/image" Target="../media/image295.png"/><Relationship Id="rId817" Type="http://schemas.openxmlformats.org/officeDocument/2006/relationships/hyperlink" Target="https://raw.githubusercontent.com/ItsCryp7iC/Genshin-Image-Hosting/main/Characters/Xinyan.png" TargetMode="External"/><Relationship Id="rId1002" Type="http://schemas.openxmlformats.org/officeDocument/2006/relationships/image" Target="../media/image498.png"/><Relationship Id="rId249" Type="http://schemas.openxmlformats.org/officeDocument/2006/relationships/hyperlink" Target="https://raw.githubusercontent.com/ItsCryp7iC/Genshin-Image-Hosting/main/Elements/cryo.png" TargetMode="External"/><Relationship Id="rId456" Type="http://schemas.openxmlformats.org/officeDocument/2006/relationships/image" Target="../media/image228.png"/><Relationship Id="rId663" Type="http://schemas.openxmlformats.org/officeDocument/2006/relationships/hyperlink" Target="https://raw.githubusercontent.com/ItsCryp7iC/Genshin-Image-Hosting/main/WeaponMaterials/MaskoftheOneHorned.png" TargetMode="External"/><Relationship Id="rId870" Type="http://schemas.openxmlformats.org/officeDocument/2006/relationships/image" Target="../media/image432.png"/><Relationship Id="rId1086" Type="http://schemas.openxmlformats.org/officeDocument/2006/relationships/image" Target="../media/image540.png"/><Relationship Id="rId13" Type="http://schemas.openxmlformats.org/officeDocument/2006/relationships/hyperlink" Target="https://raw.githubusercontent.com/ItsCryp7iC/Genshin-Image-Hosting/main/TalentBooks/PhilosophiesofBallad.png" TargetMode="External"/><Relationship Id="rId109" Type="http://schemas.openxmlformats.org/officeDocument/2006/relationships/hyperlink" Target="https://raw.githubusercontent.com/ItsCryp7iC/Genshin-Image-Hosting/main/MonsterDrops/1Star/DiviningScroll.png" TargetMode="External"/><Relationship Id="rId316" Type="http://schemas.openxmlformats.org/officeDocument/2006/relationships/image" Target="../media/image158.png"/><Relationship Id="rId523" Type="http://schemas.openxmlformats.org/officeDocument/2006/relationships/hyperlink" Target="https://raw.githubusercontent.com/ItsCryp7iC/Genshin-Image-Hosting/main/Weapons/CompoundBow.png" TargetMode="External"/><Relationship Id="rId968" Type="http://schemas.openxmlformats.org/officeDocument/2006/relationships/image" Target="../media/image481.png"/><Relationship Id="rId97" Type="http://schemas.openxmlformats.org/officeDocument/2006/relationships/hyperlink" Target="https://raw.githubusercontent.com/ItsCryp7iC/Genshin-Image-Hosting/main/MonsterDrops/3Star/GoldenRavenInsignia.png" TargetMode="External"/><Relationship Id="rId730" Type="http://schemas.openxmlformats.org/officeDocument/2006/relationships/image" Target="../media/image362.png"/><Relationship Id="rId828" Type="http://schemas.openxmlformats.org/officeDocument/2006/relationships/image" Target="../media/image411.png"/><Relationship Id="rId1013" Type="http://schemas.openxmlformats.org/officeDocument/2006/relationships/hyperlink" Target="https://raw.githubusercontent.com/ItsCryp7iC/Genshin-Image-Hosting/main/Weapons/SacrificialSword.png" TargetMode="External"/><Relationship Id="rId162" Type="http://schemas.openxmlformats.org/officeDocument/2006/relationships/image" Target="../media/image81.png"/><Relationship Id="rId467" Type="http://schemas.openxmlformats.org/officeDocument/2006/relationships/hyperlink" Target="https://raw.githubusercontent.com/ItsCryp7iC/Genshin-Image-Hosting/main/Weapons/BloodtaintedGreatsword.png" TargetMode="External"/><Relationship Id="rId1097" Type="http://schemas.openxmlformats.org/officeDocument/2006/relationships/hyperlink" Target="https://raw.githubusercontent.com/ItsCryp7iC/Genshin-Image-Hosting/main/Weapons/TwinNephrite.png" TargetMode="External"/><Relationship Id="rId674" Type="http://schemas.openxmlformats.org/officeDocument/2006/relationships/image" Target="../media/image334.png"/><Relationship Id="rId881" Type="http://schemas.openxmlformats.org/officeDocument/2006/relationships/hyperlink" Target="https://raw.githubusercontent.com/ItsCryp7iC/Genshin-Image-Hosting/main/Characters/Wanderer.png" TargetMode="External"/><Relationship Id="rId979" Type="http://schemas.openxmlformats.org/officeDocument/2006/relationships/hyperlink" Target="https://raw.githubusercontent.com/ItsCryp7iC/Genshin-Image-Hosting/main/Weapons/PrototypeStarglitter.png" TargetMode="External"/><Relationship Id="rId24" Type="http://schemas.openxmlformats.org/officeDocument/2006/relationships/image" Target="../media/image12.png"/><Relationship Id="rId327" Type="http://schemas.openxmlformats.org/officeDocument/2006/relationships/hyperlink" Target="https://raw.githubusercontent.com/ItsCryp7iC/Genshin-Image-Hosting/main/Characters/KamisatoAyato.png" TargetMode="External"/><Relationship Id="rId534" Type="http://schemas.openxmlformats.org/officeDocument/2006/relationships/hyperlink" Target="https://raw.githubusercontent.com/ItsCryp7iC/Genshin-Image-Hosting/main/WeaponMaterials/ChunkofAerosiderite.png" TargetMode="External"/><Relationship Id="rId741" Type="http://schemas.openxmlformats.org/officeDocument/2006/relationships/hyperlink" Target="https://raw.githubusercontent.com/ItsCryp7iC/Genshin-Image-Hosting/main/Weapons/FavoniusLance.png" TargetMode="External"/><Relationship Id="rId839" Type="http://schemas.openxmlformats.org/officeDocument/2006/relationships/hyperlink" Target="https://raw.githubusercontent.com/ItsCryp7iC/Genshin-Image-Hosting/main/WeaponMaterials/GoldenGobletofthePristineSea.png" TargetMode="External"/><Relationship Id="rId173" Type="http://schemas.openxmlformats.org/officeDocument/2006/relationships/hyperlink" Target="https://raw.githubusercontent.com/ItsCryp7iC/Genshin-Image-Hosting/main/WorldBoss/CleansingHeart.png" TargetMode="External"/><Relationship Id="rId380" Type="http://schemas.openxmlformats.org/officeDocument/2006/relationships/image" Target="../media/image190.png"/><Relationship Id="rId601" Type="http://schemas.openxmlformats.org/officeDocument/2006/relationships/hyperlink" Target="https://raw.githubusercontent.com/ItsCryp7iC/Genshin-Image-Hosting/main/Weapons/Deathmatch.png" TargetMode="External"/><Relationship Id="rId1024" Type="http://schemas.openxmlformats.org/officeDocument/2006/relationships/image" Target="../media/image509.png"/><Relationship Id="rId240" Type="http://schemas.openxmlformats.org/officeDocument/2006/relationships/image" Target="../media/image120.png"/><Relationship Id="rId478" Type="http://schemas.openxmlformats.org/officeDocument/2006/relationships/image" Target="../media/image239.png"/><Relationship Id="rId685" Type="http://schemas.openxmlformats.org/officeDocument/2006/relationships/hyperlink" Target="https://raw.githubusercontent.com/ItsCryp7iC/Genshin-Image-Hosting/main/WeaponMaterials/CopperTalismanoftheForestDew.png" TargetMode="External"/><Relationship Id="rId892" Type="http://schemas.openxmlformats.org/officeDocument/2006/relationships/image" Target="../media/image443.png"/><Relationship Id="rId906" Type="http://schemas.openxmlformats.org/officeDocument/2006/relationships/image" Target="../media/image450.png"/><Relationship Id="rId35" Type="http://schemas.openxmlformats.org/officeDocument/2006/relationships/hyperlink" Target="https://raw.githubusercontent.com/ItsCryp7iC/Genshin-Image-Hosting/main/Gems/BrilliantDiamondSilver.png" TargetMode="External"/><Relationship Id="rId100" Type="http://schemas.openxmlformats.org/officeDocument/2006/relationships/image" Target="../media/image50.png"/><Relationship Id="rId338" Type="http://schemas.openxmlformats.org/officeDocument/2006/relationships/image" Target="../media/image169.png"/><Relationship Id="rId545" Type="http://schemas.openxmlformats.org/officeDocument/2006/relationships/hyperlink" Target="https://raw.githubusercontent.com/ItsCryp7iC/Genshin-Image-Hosting/main/Weapons/CranesEchoingCall.png" TargetMode="External"/><Relationship Id="rId752" Type="http://schemas.openxmlformats.org/officeDocument/2006/relationships/image" Target="../media/image373.png"/><Relationship Id="rId184" Type="http://schemas.openxmlformats.org/officeDocument/2006/relationships/image" Target="../media/image92.png"/><Relationship Id="rId391" Type="http://schemas.openxmlformats.org/officeDocument/2006/relationships/hyperlink" Target="https://raw.githubusercontent.com/ItsCryp7iC/Genshin-Image-Hosting/main/WorldBoss/RunicFang.png" TargetMode="External"/><Relationship Id="rId405" Type="http://schemas.openxmlformats.org/officeDocument/2006/relationships/hyperlink" Target="https://raw.githubusercontent.com/ItsCryp7iC/Genshin-Image-Hosting/main/Gems/NagadusEmeraldFragment.png" TargetMode="External"/><Relationship Id="rId612" Type="http://schemas.openxmlformats.org/officeDocument/2006/relationships/image" Target="../media/image303.png"/><Relationship Id="rId1035" Type="http://schemas.openxmlformats.org/officeDocument/2006/relationships/hyperlink" Target="https://raw.githubusercontent.com/ItsCryp7iC/Genshin-Image-Hosting/main/Weapons/SkywardSpine.png" TargetMode="External"/><Relationship Id="rId251" Type="http://schemas.openxmlformats.org/officeDocument/2006/relationships/hyperlink" Target="https://raw.githubusercontent.com/ItsCryp7iC/Genshin-Image-Hosting/main/Weapons/AquilaFavonia.png" TargetMode="External"/><Relationship Id="rId489" Type="http://schemas.openxmlformats.org/officeDocument/2006/relationships/image" Target="../media/image244.png"/><Relationship Id="rId696" Type="http://schemas.openxmlformats.org/officeDocument/2006/relationships/image" Target="../media/image345.png"/><Relationship Id="rId917" Type="http://schemas.openxmlformats.org/officeDocument/2006/relationships/hyperlink" Target="https://raw.githubusercontent.com/ItsCryp7iC/Genshin-Image-Hosting/main/Characters/Mika.png" TargetMode="External"/><Relationship Id="rId1102" Type="http://schemas.openxmlformats.org/officeDocument/2006/relationships/image" Target="../media/image548.png"/><Relationship Id="rId46" Type="http://schemas.openxmlformats.org/officeDocument/2006/relationships/image" Target="../media/image23.png"/><Relationship Id="rId349" Type="http://schemas.openxmlformats.org/officeDocument/2006/relationships/hyperlink" Target="https://raw.githubusercontent.com/ItsCryp7iC/Genshin-Image-Hosting/main/Characters/Keqing.png" TargetMode="External"/><Relationship Id="rId556" Type="http://schemas.openxmlformats.org/officeDocument/2006/relationships/image" Target="../media/image275.png"/><Relationship Id="rId763" Type="http://schemas.openxmlformats.org/officeDocument/2006/relationships/hyperlink" Target="https://raw.githubusercontent.com/ItsCryp7iC/Genshin-Image-Hosting/main/Characters/Dori.png" TargetMode="External"/><Relationship Id="rId111" Type="http://schemas.openxmlformats.org/officeDocument/2006/relationships/hyperlink" Target="https://raw.githubusercontent.com/ItsCryp7iC/Genshin-Image-Hosting/main/LocalSpecialties/CallaLily.png" TargetMode="External"/><Relationship Id="rId195" Type="http://schemas.openxmlformats.org/officeDocument/2006/relationships/hyperlink" Target="https://raw.githubusercontent.com/ItsCryp7iC/Genshin-Image-Hosting/main/WeaponMaterials/BorealWolfsMilkTooth.png" TargetMode="External"/><Relationship Id="rId209" Type="http://schemas.openxmlformats.org/officeDocument/2006/relationships/hyperlink" Target="https://raw.githubusercontent.com/ItsCryp7iC/Genshin-Image-Hosting/main/WeeklyBoss/RingofBoreas.png" TargetMode="External"/><Relationship Id="rId416" Type="http://schemas.openxmlformats.org/officeDocument/2006/relationships/image" Target="../media/image208.png"/><Relationship Id="rId970" Type="http://schemas.openxmlformats.org/officeDocument/2006/relationships/image" Target="../media/image482.png"/><Relationship Id="rId1046" Type="http://schemas.openxmlformats.org/officeDocument/2006/relationships/image" Target="../media/image520.png"/><Relationship Id="rId623" Type="http://schemas.openxmlformats.org/officeDocument/2006/relationships/hyperlink" Target="https://raw.githubusercontent.com/ItsCryp7iC/Genshin-Image-Hosting/main/TalentBooks/TeachingsofAdmonition.png" TargetMode="External"/><Relationship Id="rId830" Type="http://schemas.openxmlformats.org/officeDocument/2006/relationships/image" Target="../media/image412.png"/><Relationship Id="rId928" Type="http://schemas.openxmlformats.org/officeDocument/2006/relationships/image" Target="../media/image461.png"/><Relationship Id="rId57" Type="http://schemas.openxmlformats.org/officeDocument/2006/relationships/hyperlink" Target="https://raw.githubusercontent.com/ItsCryp7iC/Genshin-Image-Hosting/main/MonsterDrops/3Star/RichRedBrocade.png" TargetMode="External"/><Relationship Id="rId262" Type="http://schemas.openxmlformats.org/officeDocument/2006/relationships/image" Target="../media/image131.png"/><Relationship Id="rId567" Type="http://schemas.openxmlformats.org/officeDocument/2006/relationships/hyperlink" Target="https://raw.githubusercontent.com/ItsCryp7iC/Genshin-Image-Hosting/main/Characters/Aloy.png" TargetMode="External"/><Relationship Id="rId1113" Type="http://schemas.openxmlformats.org/officeDocument/2006/relationships/hyperlink" Target="https://raw.githubusercontent.com/ItsCryp7iC/Genshin-Image-Hosting/main/Weapons/WhiteIronGreatsword.png" TargetMode="External"/><Relationship Id="rId122" Type="http://schemas.openxmlformats.org/officeDocument/2006/relationships/image" Target="../media/image61.png"/><Relationship Id="rId774" Type="http://schemas.openxmlformats.org/officeDocument/2006/relationships/image" Target="../media/image384.png"/><Relationship Id="rId981" Type="http://schemas.openxmlformats.org/officeDocument/2006/relationships/hyperlink" Target="https://raw.githubusercontent.com/ItsCryp7iC/Genshin-Image-Hosting/main/Weapons/Rainslasher.png" TargetMode="External"/><Relationship Id="rId1057" Type="http://schemas.openxmlformats.org/officeDocument/2006/relationships/hyperlink" Target="https://raw.githubusercontent.com/ItsCryp7iC/Genshin-Image-Hosting/main/Weapons/SwordofNarzissenkreuz.png" TargetMode="External"/><Relationship Id="rId427" Type="http://schemas.openxmlformats.org/officeDocument/2006/relationships/hyperlink" Target="https://raw.githubusercontent.com/ItsCryp7iC/Genshin-Image-Hosting/main/Characters/Lynette.png" TargetMode="External"/><Relationship Id="rId634" Type="http://schemas.openxmlformats.org/officeDocument/2006/relationships/image" Target="../media/image314.png"/><Relationship Id="rId841" Type="http://schemas.openxmlformats.org/officeDocument/2006/relationships/hyperlink" Target="https://raw.githubusercontent.com/ItsCryp7iC/Genshin-Image-Hosting/main/Characters/Charlotte.png" TargetMode="External"/><Relationship Id="rId273" Type="http://schemas.openxmlformats.org/officeDocument/2006/relationships/hyperlink" Target="https://raw.githubusercontent.com/ItsCryp7iC/Genshin-Image-Hosting/main/MonsterDrops/1Star/OldHandguard.png" TargetMode="External"/><Relationship Id="rId480" Type="http://schemas.openxmlformats.org/officeDocument/2006/relationships/image" Target="../media/image240.png"/><Relationship Id="rId701" Type="http://schemas.openxmlformats.org/officeDocument/2006/relationships/hyperlink" Target="https://raw.githubusercontent.com/ItsCryp7iC/Genshin-Image-Hosting/main/WeaponMaterials/SilverTalismanoftheForestDew.png" TargetMode="External"/><Relationship Id="rId939" Type="http://schemas.openxmlformats.org/officeDocument/2006/relationships/hyperlink" Target="https://raw.githubusercontent.com/ItsCryp7iC/Genshin-Image-Hosting/main/Weapons/MistsplitterReforged.png" TargetMode="External"/><Relationship Id="rId1124" Type="http://schemas.openxmlformats.org/officeDocument/2006/relationships/image" Target="../media/image559.png"/><Relationship Id="rId68" Type="http://schemas.openxmlformats.org/officeDocument/2006/relationships/image" Target="../media/image34.png"/><Relationship Id="rId133" Type="http://schemas.openxmlformats.org/officeDocument/2006/relationships/hyperlink" Target="https://raw.githubusercontent.com/ItsCryp7iC/Genshin-Image-Hosting/main/TalentBooks/PhilosophiesofLight.png" TargetMode="External"/><Relationship Id="rId340" Type="http://schemas.openxmlformats.org/officeDocument/2006/relationships/image" Target="../media/image170.png"/><Relationship Id="rId578" Type="http://schemas.openxmlformats.org/officeDocument/2006/relationships/image" Target="../media/image286.png"/><Relationship Id="rId785" Type="http://schemas.openxmlformats.org/officeDocument/2006/relationships/hyperlink" Target="https://raw.githubusercontent.com/ItsCryp7iC/Genshin-Image-Hosting/main/WeaponMaterials/MovementofanAncientChord.png" TargetMode="External"/><Relationship Id="rId992" Type="http://schemas.openxmlformats.org/officeDocument/2006/relationships/image" Target="../media/image493.png"/><Relationship Id="rId200" Type="http://schemas.openxmlformats.org/officeDocument/2006/relationships/image" Target="../media/image100.png"/><Relationship Id="rId438" Type="http://schemas.openxmlformats.org/officeDocument/2006/relationships/image" Target="../media/image219.png"/><Relationship Id="rId645" Type="http://schemas.openxmlformats.org/officeDocument/2006/relationships/hyperlink" Target="https://raw.githubusercontent.com/ItsCryp7iC/Genshin-Image-Hosting/main/Weapons/DragonsBane.png" TargetMode="External"/><Relationship Id="rId852" Type="http://schemas.openxmlformats.org/officeDocument/2006/relationships/image" Target="../media/image423.png"/><Relationship Id="rId1068" Type="http://schemas.openxmlformats.org/officeDocument/2006/relationships/image" Target="../media/image531.png"/><Relationship Id="rId284" Type="http://schemas.openxmlformats.org/officeDocument/2006/relationships/image" Target="../media/image142.png"/><Relationship Id="rId491" Type="http://schemas.openxmlformats.org/officeDocument/2006/relationships/image" Target="../media/image245.png"/><Relationship Id="rId505" Type="http://schemas.openxmlformats.org/officeDocument/2006/relationships/hyperlink" Target="https://raw.githubusercontent.com/ItsCryp7iC/Genshin-Image-Hosting/main/Characters/TravelerDendro.png" TargetMode="External"/><Relationship Id="rId712" Type="http://schemas.openxmlformats.org/officeDocument/2006/relationships/image" Target="../media/image353.png"/><Relationship Id="rId79" Type="http://schemas.openxmlformats.org/officeDocument/2006/relationships/hyperlink" Target="https://raw.githubusercontent.com/ItsCryp7iC/Genshin-Image-Hosting/main/Misc/CrownofInsight.png" TargetMode="External"/><Relationship Id="rId144" Type="http://schemas.openxmlformats.org/officeDocument/2006/relationships/image" Target="../media/image72.png"/><Relationship Id="rId589" Type="http://schemas.openxmlformats.org/officeDocument/2006/relationships/hyperlink" Target="https://raw.githubusercontent.com/ItsCryp7iC/Genshin-Image-Hosting/main/Weapons/DarkIronSword.png" TargetMode="External"/><Relationship Id="rId796" Type="http://schemas.openxmlformats.org/officeDocument/2006/relationships/image" Target="../media/image395.png"/><Relationship Id="rId351" Type="http://schemas.openxmlformats.org/officeDocument/2006/relationships/hyperlink" Target="https://raw.githubusercontent.com/ItsCryp7iC/Genshin-Image-Hosting/main/TalentBooks/PhilosophiesofProsperity.png" TargetMode="External"/><Relationship Id="rId449" Type="http://schemas.openxmlformats.org/officeDocument/2006/relationships/hyperlink" Target="https://raw.githubusercontent.com/ItsCryp7iC/Genshin-Image-Hosting/main/TalentBooks/GuidetoDiligence.png" TargetMode="External"/><Relationship Id="rId656" Type="http://schemas.openxmlformats.org/officeDocument/2006/relationships/image" Target="../media/image325.png"/><Relationship Id="rId863" Type="http://schemas.openxmlformats.org/officeDocument/2006/relationships/hyperlink" Target="https://raw.githubusercontent.com/ItsCryp7iC/Genshin-Image-Hosting/main/Weapons/KagotsurubeIsshin.png" TargetMode="External"/><Relationship Id="rId1079" Type="http://schemas.openxmlformats.org/officeDocument/2006/relationships/hyperlink" Target="https://raw.githubusercontent.com/ItsCryp7iC/Genshin-Image-Hosting/main/Weapons/TheViridescentHunt.png" TargetMode="External"/><Relationship Id="rId211" Type="http://schemas.openxmlformats.org/officeDocument/2006/relationships/hyperlink" Target="https://raw.githubusercontent.com/ItsCryp7iC/Genshin-Image-Hosting/main/MonsterDrops/3Star/LieutenantsInsignia.png" TargetMode="External"/><Relationship Id="rId295" Type="http://schemas.openxmlformats.org/officeDocument/2006/relationships/hyperlink" Target="https://raw.githubusercontent.com/ItsCryp7iC/Genshin-Image-Hosting/main/Weapons/BalladoftheBoundlessBlue.png" TargetMode="External"/><Relationship Id="rId309" Type="http://schemas.openxmlformats.org/officeDocument/2006/relationships/hyperlink" Target="https://raw.githubusercontent.com/ItsCryp7iC/Genshin-Image-Hosting/main/WeeklyBoss/DragonLordsCrown.png" TargetMode="External"/><Relationship Id="rId516" Type="http://schemas.openxmlformats.org/officeDocument/2006/relationships/hyperlink" Target="https://raw.githubusercontent.com/ItsCryp7iC/Genshin-Image-Hosting/main/WeaponMaterials/PieceofAerosiderite.png" TargetMode="External"/><Relationship Id="rId723" Type="http://schemas.openxmlformats.org/officeDocument/2006/relationships/hyperlink" Target="https://raw.githubusercontent.com/ItsCryp7iC/Genshin-Image-Hosting/main/Weapons/FavoniusCodex.png" TargetMode="External"/><Relationship Id="rId930" Type="http://schemas.openxmlformats.org/officeDocument/2006/relationships/image" Target="../media/image462.png"/><Relationship Id="rId1006" Type="http://schemas.openxmlformats.org/officeDocument/2006/relationships/image" Target="../media/image500.png"/><Relationship Id="rId155" Type="http://schemas.openxmlformats.org/officeDocument/2006/relationships/hyperlink" Target="https://raw.githubusercontent.com/ItsCryp7iC/Genshin-Image-Hosting/main/Weapons/AmenomaKageuchi.png" TargetMode="External"/><Relationship Id="rId362" Type="http://schemas.openxmlformats.org/officeDocument/2006/relationships/image" Target="../media/image181.png"/><Relationship Id="rId222" Type="http://schemas.openxmlformats.org/officeDocument/2006/relationships/image" Target="../media/image111.png"/><Relationship Id="rId667" Type="http://schemas.openxmlformats.org/officeDocument/2006/relationships/hyperlink" Target="https://raw.githubusercontent.com/ItsCryp7iC/Genshin-Image-Hosting/main/TalentBooks/PhilosophiesofEquity.png" TargetMode="External"/><Relationship Id="rId874" Type="http://schemas.openxmlformats.org/officeDocument/2006/relationships/image" Target="../media/image434.png"/><Relationship Id="rId17" Type="http://schemas.openxmlformats.org/officeDocument/2006/relationships/hyperlink" Target="https://raw.githubusercontent.com/ItsCryp7iC/Genshin-Image-Hosting/main/LocalSpecialties/Cecilia.png" TargetMode="External"/><Relationship Id="rId527" Type="http://schemas.openxmlformats.org/officeDocument/2006/relationships/hyperlink" Target="https://raw.githubusercontent.com/ItsCryp7iC/Genshin-Image-Hosting/main/Characters/TravelerPyro.png" TargetMode="External"/><Relationship Id="rId734" Type="http://schemas.openxmlformats.org/officeDocument/2006/relationships/image" Target="../media/image364.png"/><Relationship Id="rId941" Type="http://schemas.openxmlformats.org/officeDocument/2006/relationships/hyperlink" Target="https://raw.githubusercontent.com/ItsCryp7iC/Genshin-Image-Hosting/main/Characters/Xiao.png" TargetMode="External"/><Relationship Id="rId70" Type="http://schemas.openxmlformats.org/officeDocument/2006/relationships/image" Target="../media/image35.png"/><Relationship Id="rId166" Type="http://schemas.openxmlformats.org/officeDocument/2006/relationships/image" Target="../media/image83.png"/><Relationship Id="rId373" Type="http://schemas.openxmlformats.org/officeDocument/2006/relationships/hyperlink" Target="https://raw.githubusercontent.com/ItsCryp7iC/Genshin-Image-Hosting/main/MonsterDrops/3Star/ArtificedDynamicGear.png" TargetMode="External"/><Relationship Id="rId580" Type="http://schemas.openxmlformats.org/officeDocument/2006/relationships/image" Target="../media/image287.png"/><Relationship Id="rId801" Type="http://schemas.openxmlformats.org/officeDocument/2006/relationships/hyperlink" Target="https://raw.githubusercontent.com/ItsCryp7iC/Genshin-Image-Hosting/main/Weapons/FreedomSworn.png" TargetMode="External"/><Relationship Id="rId1017" Type="http://schemas.openxmlformats.org/officeDocument/2006/relationships/hyperlink" Target="https://raw.githubusercontent.com/ItsCryp7iC/Genshin-Image-Hosting/main/Weapons/ScionoftheBlazingSun.png" TargetMode="External"/><Relationship Id="rId1" Type="http://schemas.openxmlformats.org/officeDocument/2006/relationships/hyperlink" Target="https://raw.githubusercontent.com/ItsCryp7iC/Genshin-Image-Hosting/main/Experience/HerosWit.png" TargetMode="External"/><Relationship Id="rId233" Type="http://schemas.openxmlformats.org/officeDocument/2006/relationships/hyperlink" Target="https://raw.githubusercontent.com/ItsCryp7iC/Genshin-Image-Hosting/main/WorldBoss/JuvenileJade.png" TargetMode="External"/><Relationship Id="rId440" Type="http://schemas.openxmlformats.org/officeDocument/2006/relationships/image" Target="../media/image220.png"/><Relationship Id="rId678" Type="http://schemas.openxmlformats.org/officeDocument/2006/relationships/image" Target="../media/image336.png"/><Relationship Id="rId885" Type="http://schemas.openxmlformats.org/officeDocument/2006/relationships/hyperlink" Target="https://raw.githubusercontent.com/ItsCryp7iC/Genshin-Image-Hosting/main/Characters/Wriothesley.png" TargetMode="External"/><Relationship Id="rId1070" Type="http://schemas.openxmlformats.org/officeDocument/2006/relationships/image" Target="../media/image532.png"/><Relationship Id="rId28" Type="http://schemas.openxmlformats.org/officeDocument/2006/relationships/image" Target="../media/image14.png"/><Relationship Id="rId300" Type="http://schemas.openxmlformats.org/officeDocument/2006/relationships/image" Target="../media/image150.png"/><Relationship Id="rId538" Type="http://schemas.openxmlformats.org/officeDocument/2006/relationships/image" Target="../media/image266.png"/><Relationship Id="rId745" Type="http://schemas.openxmlformats.org/officeDocument/2006/relationships/hyperlink" Target="https://raw.githubusercontent.com/ItsCryp7iC/Genshin-Image-Hosting/main/Characters/Chongyun.png" TargetMode="External"/><Relationship Id="rId952" Type="http://schemas.openxmlformats.org/officeDocument/2006/relationships/image" Target="../media/image473.png"/><Relationship Id="rId81" Type="http://schemas.openxmlformats.org/officeDocument/2006/relationships/hyperlink" Target="https://raw.githubusercontent.com/ItsCryp7iC/Genshin-Image-Hosting/main/Billets/claymore.png" TargetMode="External"/><Relationship Id="rId177" Type="http://schemas.openxmlformats.org/officeDocument/2006/relationships/hyperlink" Target="https://raw.githubusercontent.com/ItsCryp7iC/Genshin-Image-Hosting/main/MonsterDrops/2Star/SilverRavenInsignia.png" TargetMode="External"/><Relationship Id="rId384" Type="http://schemas.openxmlformats.org/officeDocument/2006/relationships/image" Target="../media/image192.png"/><Relationship Id="rId591" Type="http://schemas.openxmlformats.org/officeDocument/2006/relationships/hyperlink" Target="https://raw.githubusercontent.com/ItsCryp7iC/Genshin-Image-Hosting/main/WeaponMaterials/GoldenBranchofaDistantSea.png" TargetMode="External"/><Relationship Id="rId605" Type="http://schemas.openxmlformats.org/officeDocument/2006/relationships/hyperlink" Target="https://raw.githubusercontent.com/ItsCryp7iC/Genshin-Image-Hosting/main/Characters/Diona.png" TargetMode="External"/><Relationship Id="rId812" Type="http://schemas.openxmlformats.org/officeDocument/2006/relationships/image" Target="../media/image403.png"/><Relationship Id="rId1028" Type="http://schemas.openxmlformats.org/officeDocument/2006/relationships/image" Target="../media/image511.png"/><Relationship Id="rId244" Type="http://schemas.openxmlformats.org/officeDocument/2006/relationships/image" Target="../media/image122.png"/><Relationship Id="rId689" Type="http://schemas.openxmlformats.org/officeDocument/2006/relationships/hyperlink" Target="https://raw.githubusercontent.com/ItsCryp7iC/Genshin-Image-Hosting/main/TalentBooks/GuidetoJustice.png" TargetMode="External"/><Relationship Id="rId896" Type="http://schemas.openxmlformats.org/officeDocument/2006/relationships/image" Target="../media/image445.png"/><Relationship Id="rId1081" Type="http://schemas.openxmlformats.org/officeDocument/2006/relationships/hyperlink" Target="https://raw.githubusercontent.com/ItsCryp7iC/Genshin-Image-Hosting/main/Weapons/TheWidsith.png" TargetMode="External"/><Relationship Id="rId39" Type="http://schemas.openxmlformats.org/officeDocument/2006/relationships/hyperlink" Target="https://raw.githubusercontent.com/ItsCryp7iC/Genshin-Image-Hosting/main/Elements/anemo.png" TargetMode="External"/><Relationship Id="rId451" Type="http://schemas.openxmlformats.org/officeDocument/2006/relationships/hyperlink" Target="https://raw.githubusercontent.com/ItsCryp7iC/Genshin-Image-Hosting/main/Gems/VajradaAmethystSilver.png" TargetMode="External"/><Relationship Id="rId549" Type="http://schemas.openxmlformats.org/officeDocument/2006/relationships/hyperlink" Target="https://raw.githubusercontent.com/ItsCryp7iC/Genshin-Image-Hosting/main/Characters/Xingqiu.png" TargetMode="External"/><Relationship Id="rId756" Type="http://schemas.openxmlformats.org/officeDocument/2006/relationships/image" Target="../media/image375.png"/><Relationship Id="rId104" Type="http://schemas.openxmlformats.org/officeDocument/2006/relationships/image" Target="../media/image52.png"/><Relationship Id="rId188" Type="http://schemas.openxmlformats.org/officeDocument/2006/relationships/image" Target="../media/image94.png"/><Relationship Id="rId311" Type="http://schemas.openxmlformats.org/officeDocument/2006/relationships/hyperlink" Target="https://raw.githubusercontent.com/ItsCryp7iC/Genshin-Image-Hosting/main/MonsterDrops/3Star/CrystallineCystDust.png" TargetMode="External"/><Relationship Id="rId395" Type="http://schemas.openxmlformats.org/officeDocument/2006/relationships/hyperlink" Target="https://raw.githubusercontent.com/ItsCryp7iC/Genshin-Image-Hosting/main/LocalSpecialties/NakuWeed.png" TargetMode="External"/><Relationship Id="rId409" Type="http://schemas.openxmlformats.org/officeDocument/2006/relationships/hyperlink" Target="https://raw.githubusercontent.com/ItsCryp7iC/Genshin-Image-Hosting/main/WeaponMaterials/LustrousStonefromGuyun.png" TargetMode="External"/><Relationship Id="rId963" Type="http://schemas.openxmlformats.org/officeDocument/2006/relationships/hyperlink" Target="https://raw.githubusercontent.com/ItsCryp7iC/Genshin-Image-Hosting/main/Weapons/Predator.png" TargetMode="External"/><Relationship Id="rId1039" Type="http://schemas.openxmlformats.org/officeDocument/2006/relationships/hyperlink" Target="https://raw.githubusercontent.com/ItsCryp7iC/Genshin-Image-Hosting/main/Weapons/SnowTombedStarsilver.png" TargetMode="External"/><Relationship Id="rId92" Type="http://schemas.openxmlformats.org/officeDocument/2006/relationships/image" Target="../media/image46.png"/><Relationship Id="rId616" Type="http://schemas.openxmlformats.org/officeDocument/2006/relationships/image" Target="../media/image305.png"/><Relationship Id="rId823" Type="http://schemas.openxmlformats.org/officeDocument/2006/relationships/hyperlink" Target="https://raw.githubusercontent.com/ItsCryp7iC/Genshin-Image-Hosting/main/Characters/Arlecchino.png" TargetMode="External"/><Relationship Id="rId255" Type="http://schemas.openxmlformats.org/officeDocument/2006/relationships/hyperlink" Target="https://raw.githubusercontent.com/ItsCryp7iC/Genshin-Image-Hosting/main/Characters/KaedeharaKazuha.png" TargetMode="External"/><Relationship Id="rId462" Type="http://schemas.openxmlformats.org/officeDocument/2006/relationships/image" Target="../media/image231.png"/><Relationship Id="rId1092" Type="http://schemas.openxmlformats.org/officeDocument/2006/relationships/image" Target="../media/image543.png"/><Relationship Id="rId1106" Type="http://schemas.openxmlformats.org/officeDocument/2006/relationships/image" Target="../media/image550.png"/><Relationship Id="rId115" Type="http://schemas.openxmlformats.org/officeDocument/2006/relationships/hyperlink" Target="https://raw.githubusercontent.com/ItsCryp7iC/Genshin-Image-Hosting/main/Misc/resin.png" TargetMode="External"/><Relationship Id="rId322" Type="http://schemas.openxmlformats.org/officeDocument/2006/relationships/image" Target="../media/image161.png"/><Relationship Id="rId767" Type="http://schemas.openxmlformats.org/officeDocument/2006/relationships/hyperlink" Target="https://raw.githubusercontent.com/ItsCryp7iC/Genshin-Image-Hosting/main/WeaponMaterials/OldenDaysofScorchingMight.png" TargetMode="External"/><Relationship Id="rId974" Type="http://schemas.openxmlformats.org/officeDocument/2006/relationships/image" Target="../media/image484.png"/><Relationship Id="rId199" Type="http://schemas.openxmlformats.org/officeDocument/2006/relationships/hyperlink" Target="https://raw.githubusercontent.com/ItsCryp7iC/Genshin-Image-Hosting/main/WorldBoss/WaterThatFailedToTranscend.png" TargetMode="External"/><Relationship Id="rId627" Type="http://schemas.openxmlformats.org/officeDocument/2006/relationships/hyperlink" Target="https://raw.githubusercontent.com/ItsCryp7iC/Genshin-Image-Hosting/main/Gems/PrithivaTopazChunk.png" TargetMode="External"/><Relationship Id="rId834" Type="http://schemas.openxmlformats.org/officeDocument/2006/relationships/image" Target="../media/image414.png"/><Relationship Id="rId266" Type="http://schemas.openxmlformats.org/officeDocument/2006/relationships/image" Target="../media/image133.png"/><Relationship Id="rId473" Type="http://schemas.openxmlformats.org/officeDocument/2006/relationships/hyperlink" Target="https://raw.githubusercontent.com/ItsCryp7iC/Genshin-Image-Hosting/main/WeeklyBoss/PuppetStrings.png" TargetMode="External"/><Relationship Id="rId680" Type="http://schemas.openxmlformats.org/officeDocument/2006/relationships/image" Target="../media/image337.png"/><Relationship Id="rId901" Type="http://schemas.openxmlformats.org/officeDocument/2006/relationships/hyperlink" Target="https://raw.githubusercontent.com/ItsCryp7iC/Genshin-Image-Hosting/main/Characters/Candace.png" TargetMode="External"/><Relationship Id="rId1117" Type="http://schemas.openxmlformats.org/officeDocument/2006/relationships/hyperlink" Target="https://raw.githubusercontent.com/ItsCryp7iC/Genshin-Image-Hosting/main/Weapons/WindblumeOde.png" TargetMode="External"/><Relationship Id="rId30" Type="http://schemas.openxmlformats.org/officeDocument/2006/relationships/image" Target="../media/image15.png"/><Relationship Id="rId126" Type="http://schemas.openxmlformats.org/officeDocument/2006/relationships/image" Target="../media/image63.png"/><Relationship Id="rId333" Type="http://schemas.openxmlformats.org/officeDocument/2006/relationships/hyperlink" Target="https://raw.githubusercontent.com/ItsCryp7iC/Genshin-Image-Hosting/main/WorldBoss/SmolderingPearl.png" TargetMode="External"/><Relationship Id="rId540" Type="http://schemas.openxmlformats.org/officeDocument/2006/relationships/image" Target="../media/image267.png"/><Relationship Id="rId778" Type="http://schemas.openxmlformats.org/officeDocument/2006/relationships/image" Target="../media/image386.png"/><Relationship Id="rId985" Type="http://schemas.openxmlformats.org/officeDocument/2006/relationships/hyperlink" Target="https://raw.githubusercontent.com/ItsCryp7iC/Genshin-Image-Hosting/main/Weapons/RavenBow.png" TargetMode="External"/><Relationship Id="rId638" Type="http://schemas.openxmlformats.org/officeDocument/2006/relationships/image" Target="../media/image316.png"/><Relationship Id="rId845" Type="http://schemas.openxmlformats.org/officeDocument/2006/relationships/hyperlink" Target="https://raw.githubusercontent.com/ItsCryp7iC/Genshin-Image-Hosting/main/Characters/Klee.png" TargetMode="External"/><Relationship Id="rId1030" Type="http://schemas.openxmlformats.org/officeDocument/2006/relationships/image" Target="../media/image512.png"/><Relationship Id="rId277" Type="http://schemas.openxmlformats.org/officeDocument/2006/relationships/hyperlink" Target="https://raw.githubusercontent.com/ItsCryp7iC/Genshin-Image-Hosting/main/Weapons/AThousandFloatingDreams.png" TargetMode="External"/><Relationship Id="rId400" Type="http://schemas.openxmlformats.org/officeDocument/2006/relationships/image" Target="../media/image200.png"/><Relationship Id="rId484" Type="http://schemas.openxmlformats.org/officeDocument/2006/relationships/hyperlink" Target="https://raw.githubusercontent.com/ItsCryp7iC/Genshin-Image-Hosting/main/WorldBoss/LightGuidingTetrahedron.png" TargetMode="External"/><Relationship Id="rId705" Type="http://schemas.openxmlformats.org/officeDocument/2006/relationships/hyperlink" Target="https://raw.githubusercontent.com/ItsCryp7iC/Genshin-Image-Hosting/main/TalentBooks/TeachingsofOrder.png" TargetMode="External"/><Relationship Id="rId137" Type="http://schemas.openxmlformats.org/officeDocument/2006/relationships/hyperlink" Target="https://raw.githubusercontent.com/ItsCryp7iC/Genshin-Image-Hosting/main/LocalSpecialties/HennaBerry.png" TargetMode="External"/><Relationship Id="rId344" Type="http://schemas.openxmlformats.org/officeDocument/2006/relationships/image" Target="../media/image172.png"/><Relationship Id="rId691" Type="http://schemas.openxmlformats.org/officeDocument/2006/relationships/hyperlink" Target="https://raw.githubusercontent.com/ItsCryp7iC/Genshin-Image-Hosting/main/LocalSpecialties/SubdetectionUnit.png" TargetMode="External"/><Relationship Id="rId789" Type="http://schemas.openxmlformats.org/officeDocument/2006/relationships/hyperlink" Target="https://raw.githubusercontent.com/ItsCryp7iC/Genshin-Image-Hosting/main/Weapons/FlowingPurity.png" TargetMode="External"/><Relationship Id="rId912" Type="http://schemas.openxmlformats.org/officeDocument/2006/relationships/image" Target="../media/image453.png"/><Relationship Id="rId996" Type="http://schemas.openxmlformats.org/officeDocument/2006/relationships/image" Target="../media/image495.png"/><Relationship Id="rId41" Type="http://schemas.openxmlformats.org/officeDocument/2006/relationships/hyperlink" Target="https://raw.githubusercontent.com/ItsCryp7iC/Genshin-Image-Hosting/main/Weapons/Absolution.png" TargetMode="External"/><Relationship Id="rId551" Type="http://schemas.openxmlformats.org/officeDocument/2006/relationships/hyperlink" Target="https://raw.githubusercontent.com/ItsCryp7iC/Genshin-Image-Hosting/main/LocalSpecialties/SilkFlower.png" TargetMode="External"/><Relationship Id="rId649" Type="http://schemas.openxmlformats.org/officeDocument/2006/relationships/hyperlink" Target="https://raw.githubusercontent.com/ItsCryp7iC/Genshin-Image-Hosting/main/Characters/Gorou.png" TargetMode="External"/><Relationship Id="rId856" Type="http://schemas.openxmlformats.org/officeDocument/2006/relationships/image" Target="../media/image425.png"/><Relationship Id="rId190" Type="http://schemas.openxmlformats.org/officeDocument/2006/relationships/image" Target="../media/image95.png"/><Relationship Id="rId204" Type="http://schemas.openxmlformats.org/officeDocument/2006/relationships/image" Target="../media/image102.png"/><Relationship Id="rId288" Type="http://schemas.openxmlformats.org/officeDocument/2006/relationships/image" Target="../media/image144.png"/><Relationship Id="rId411" Type="http://schemas.openxmlformats.org/officeDocument/2006/relationships/hyperlink" Target="https://raw.githubusercontent.com/ItsCryp7iC/Genshin-Image-Hosting/main/Characters/Layla.png" TargetMode="External"/><Relationship Id="rId509" Type="http://schemas.openxmlformats.org/officeDocument/2006/relationships/image" Target="../media/image253.png"/><Relationship Id="rId1041" Type="http://schemas.openxmlformats.org/officeDocument/2006/relationships/hyperlink" Target="https://raw.githubusercontent.com/ItsCryp7iC/Genshin-Image-Hosting/main/Weapons/SolarPearl.png" TargetMode="External"/><Relationship Id="rId495" Type="http://schemas.openxmlformats.org/officeDocument/2006/relationships/hyperlink" Target="https://raw.githubusercontent.com/ItsCryp7iC/Genshin-Image-Hosting/main/WorldBoss/QuelledCreeper.png" TargetMode="External"/><Relationship Id="rId716" Type="http://schemas.openxmlformats.org/officeDocument/2006/relationships/image" Target="../media/image355.png"/><Relationship Id="rId923" Type="http://schemas.openxmlformats.org/officeDocument/2006/relationships/hyperlink" Target="https://raw.githubusercontent.com/ItsCryp7iC/Genshin-Image-Hosting/main/Weapons/MappaMare.png" TargetMode="External"/><Relationship Id="rId52" Type="http://schemas.openxmlformats.org/officeDocument/2006/relationships/image" Target="../media/image26.png"/><Relationship Id="rId148" Type="http://schemas.openxmlformats.org/officeDocument/2006/relationships/image" Target="../media/image74.png"/><Relationship Id="rId355" Type="http://schemas.openxmlformats.org/officeDocument/2006/relationships/hyperlink" Target="https://raw.githubusercontent.com/ItsCryp7iC/Genshin-Image-Hosting/main/MonsterDrops/1Star/TransoceanicPearl.png" TargetMode="External"/><Relationship Id="rId562" Type="http://schemas.openxmlformats.org/officeDocument/2006/relationships/image" Target="../media/image278.png"/><Relationship Id="rId215" Type="http://schemas.openxmlformats.org/officeDocument/2006/relationships/hyperlink" Target="https://raw.githubusercontent.com/ItsCryp7iC/Genshin-Image-Hosting/main/MonsterDrops/1Star/RecruitsInsignia.png" TargetMode="External"/><Relationship Id="rId422" Type="http://schemas.openxmlformats.org/officeDocument/2006/relationships/image" Target="../media/image211.png"/><Relationship Id="rId867" Type="http://schemas.openxmlformats.org/officeDocument/2006/relationships/hyperlink" Target="https://raw.githubusercontent.com/ItsCryp7iC/Genshin-Image-Hosting/main/Weapons/KagurasVerity.png" TargetMode="External"/><Relationship Id="rId1052" Type="http://schemas.openxmlformats.org/officeDocument/2006/relationships/image" Target="../media/image523.png"/><Relationship Id="rId299" Type="http://schemas.openxmlformats.org/officeDocument/2006/relationships/hyperlink" Target="https://raw.githubusercontent.com/ItsCryp7iC/Genshin-Image-Hosting/main/Characters/KamisatoAyaka.png" TargetMode="External"/><Relationship Id="rId727" Type="http://schemas.openxmlformats.org/officeDocument/2006/relationships/hyperlink" Target="https://raw.githubusercontent.com/ItsCryp7iC/Genshin-Image-Hosting/main/Characters/AratakiItto.png" TargetMode="External"/><Relationship Id="rId934" Type="http://schemas.openxmlformats.org/officeDocument/2006/relationships/image" Target="../media/image464.png"/><Relationship Id="rId63" Type="http://schemas.openxmlformats.org/officeDocument/2006/relationships/hyperlink" Target="https://raw.githubusercontent.com/ItsCryp7iC/Genshin-Image-Hosting/main/WorldBoss/HoarfrostCore.png" TargetMode="External"/><Relationship Id="rId159" Type="http://schemas.openxmlformats.org/officeDocument/2006/relationships/hyperlink" Target="https://raw.githubusercontent.com/ItsCryp7iC/Genshin-Image-Hosting/main/Characters/Clorinde.png" TargetMode="External"/><Relationship Id="rId366" Type="http://schemas.openxmlformats.org/officeDocument/2006/relationships/image" Target="../media/image183.png"/><Relationship Id="rId573" Type="http://schemas.openxmlformats.org/officeDocument/2006/relationships/hyperlink" Target="https://raw.githubusercontent.com/ItsCryp7iC/Genshin-Image-Hosting/main/Gems/ShivadaJadeChunk.png" TargetMode="External"/><Relationship Id="rId780" Type="http://schemas.openxmlformats.org/officeDocument/2006/relationships/image" Target="../media/image387.png"/><Relationship Id="rId226" Type="http://schemas.openxmlformats.org/officeDocument/2006/relationships/image" Target="../media/image113.png"/><Relationship Id="rId433" Type="http://schemas.openxmlformats.org/officeDocument/2006/relationships/hyperlink" Target="https://raw.githubusercontent.com/ItsCryp7iC/Genshin-Image-Hosting/main/TalentBooks/TeachingsofDiligence.png" TargetMode="External"/><Relationship Id="rId878" Type="http://schemas.openxmlformats.org/officeDocument/2006/relationships/image" Target="../media/image436.png"/><Relationship Id="rId1063" Type="http://schemas.openxmlformats.org/officeDocument/2006/relationships/hyperlink" Target="https://raw.githubusercontent.com/ItsCryp7iC/Genshin-Image-Hosting/main/Weapons/TheBell.png" TargetMode="External"/><Relationship Id="rId640" Type="http://schemas.openxmlformats.org/officeDocument/2006/relationships/image" Target="../media/image317.png"/><Relationship Id="rId738" Type="http://schemas.openxmlformats.org/officeDocument/2006/relationships/image" Target="../media/image366.png"/><Relationship Id="rId945" Type="http://schemas.openxmlformats.org/officeDocument/2006/relationships/hyperlink" Target="https://raw.githubusercontent.com/ItsCryp7iC/Genshin-Image-Hosting/main/Characters/Yaoyao.png" TargetMode="External"/><Relationship Id="rId74" Type="http://schemas.openxmlformats.org/officeDocument/2006/relationships/image" Target="../media/image37.png"/><Relationship Id="rId377" Type="http://schemas.openxmlformats.org/officeDocument/2006/relationships/hyperlink" Target="https://raw.githubusercontent.com/ItsCryp7iC/Genshin-Image-Hosting/main/MonsterDrops/1Star/MeshingGear.png" TargetMode="External"/><Relationship Id="rId500" Type="http://schemas.openxmlformats.org/officeDocument/2006/relationships/image" Target="../media/image249.png"/><Relationship Id="rId584" Type="http://schemas.openxmlformats.org/officeDocument/2006/relationships/image" Target="../media/image289.png"/><Relationship Id="rId805" Type="http://schemas.openxmlformats.org/officeDocument/2006/relationships/hyperlink" Target="https://raw.githubusercontent.com/ItsCryp7iC/Genshin-Image-Hosting/main/Characters/Razor.png" TargetMode="External"/><Relationship Id="rId5" Type="http://schemas.openxmlformats.org/officeDocument/2006/relationships/hyperlink" Target="https://raw.githubusercontent.com/ItsCryp7iC/Genshin-Image-Hosting/main/Billets/sword.png" TargetMode="External"/><Relationship Id="rId237" Type="http://schemas.openxmlformats.org/officeDocument/2006/relationships/hyperlink" Target="https://raw.githubusercontent.com/ItsCryp7iC/Genshin-Image-Hosting/main/MonsterDrops/2Star/ShimmeringNectar.png" TargetMode="External"/><Relationship Id="rId791" Type="http://schemas.openxmlformats.org/officeDocument/2006/relationships/hyperlink" Target="https://raw.githubusercontent.com/ItsCryp7iC/Genshin-Image-Hosting/main/WeaponMaterials/EchoofanAncientChord.png" TargetMode="External"/><Relationship Id="rId889" Type="http://schemas.openxmlformats.org/officeDocument/2006/relationships/hyperlink" Target="https://raw.githubusercontent.com/ItsCryp7iC/Genshin-Image-Hosting/main/Characters/Xianyun.png" TargetMode="External"/><Relationship Id="rId1074" Type="http://schemas.openxmlformats.org/officeDocument/2006/relationships/image" Target="../media/image534.png"/><Relationship Id="rId444" Type="http://schemas.openxmlformats.org/officeDocument/2006/relationships/image" Target="../media/image222.png"/><Relationship Id="rId651" Type="http://schemas.openxmlformats.org/officeDocument/2006/relationships/hyperlink" Target="https://raw.githubusercontent.com/ItsCryp7iC/Genshin-Image-Hosting/main/TalentBooks/TeachingsofPraxis.png" TargetMode="External"/><Relationship Id="rId749" Type="http://schemas.openxmlformats.org/officeDocument/2006/relationships/hyperlink" Target="https://raw.githubusercontent.com/ItsCryp7iC/Genshin-Image-Hosting/main/WeaponMaterials/EchoofScorchingMight.png" TargetMode="External"/><Relationship Id="rId290" Type="http://schemas.openxmlformats.org/officeDocument/2006/relationships/image" Target="../media/image145.png"/><Relationship Id="rId304" Type="http://schemas.openxmlformats.org/officeDocument/2006/relationships/image" Target="../media/image152.png"/><Relationship Id="rId388" Type="http://schemas.openxmlformats.org/officeDocument/2006/relationships/image" Target="../media/image194.png"/><Relationship Id="rId511" Type="http://schemas.openxmlformats.org/officeDocument/2006/relationships/image" Target="../media/image254.png"/><Relationship Id="rId609" Type="http://schemas.openxmlformats.org/officeDocument/2006/relationships/hyperlink" Target="https://raw.githubusercontent.com/ItsCryp7iC/Genshin-Image-Hosting/main/WeeklyBoss/FadingCandle.png" TargetMode="External"/><Relationship Id="rId956" Type="http://schemas.openxmlformats.org/officeDocument/2006/relationships/image" Target="../media/image475.png"/><Relationship Id="rId85" Type="http://schemas.openxmlformats.org/officeDocument/2006/relationships/hyperlink" Target="https://raw.githubusercontent.com/ItsCryp7iC/Genshin-Image-Hosting/main/WeaponMaterials/DebrisofDecarabiansCity.png" TargetMode="External"/><Relationship Id="rId150" Type="http://schemas.openxmlformats.org/officeDocument/2006/relationships/image" Target="../media/image75.png"/><Relationship Id="rId595" Type="http://schemas.openxmlformats.org/officeDocument/2006/relationships/hyperlink" Target="https://raw.githubusercontent.com/ItsCryp7iC/Genshin-Image-Hosting/main/WeeklyBoss/DenialandJudgment.png" TargetMode="External"/><Relationship Id="rId816" Type="http://schemas.openxmlformats.org/officeDocument/2006/relationships/image" Target="../media/image405.png"/><Relationship Id="rId1001" Type="http://schemas.openxmlformats.org/officeDocument/2006/relationships/hyperlink" Target="https://raw.githubusercontent.com/ItsCryp7iC/Genshin-Image-Hosting/main/Weapons/RoyalSpear.png" TargetMode="External"/><Relationship Id="rId248" Type="http://schemas.openxmlformats.org/officeDocument/2006/relationships/image" Target="../media/image124.png"/><Relationship Id="rId455" Type="http://schemas.openxmlformats.org/officeDocument/2006/relationships/hyperlink" Target="https://raw.githubusercontent.com/ItsCryp7iC/Genshin-Image-Hosting/main/WeaponMaterials/MistVeiledLeadElixir.png" TargetMode="External"/><Relationship Id="rId662" Type="http://schemas.openxmlformats.org/officeDocument/2006/relationships/image" Target="../media/image328.png"/><Relationship Id="rId1085" Type="http://schemas.openxmlformats.org/officeDocument/2006/relationships/hyperlink" Target="https://raw.githubusercontent.com/ItsCryp7iC/Genshin-Image-Hosting/main/Weapons/ThunderingPulse.png" TargetMode="External"/><Relationship Id="rId12" Type="http://schemas.openxmlformats.org/officeDocument/2006/relationships/image" Target="../media/image6.png"/><Relationship Id="rId108" Type="http://schemas.openxmlformats.org/officeDocument/2006/relationships/image" Target="../media/image54.png"/><Relationship Id="rId315" Type="http://schemas.openxmlformats.org/officeDocument/2006/relationships/hyperlink" Target="https://raw.githubusercontent.com/ItsCryp7iC/Genshin-Image-Hosting/main/MonsterDrops/1Star/FungalSpores.png" TargetMode="External"/><Relationship Id="rId522" Type="http://schemas.openxmlformats.org/officeDocument/2006/relationships/image" Target="../media/image259.png"/><Relationship Id="rId967" Type="http://schemas.openxmlformats.org/officeDocument/2006/relationships/hyperlink" Target="https://raw.githubusercontent.com/ItsCryp7iC/Genshin-Image-Hosting/main/Weapons/PrimordialJadeWingedSpear.png" TargetMode="External"/><Relationship Id="rId96" Type="http://schemas.openxmlformats.org/officeDocument/2006/relationships/image" Target="../media/image48.png"/><Relationship Id="rId161" Type="http://schemas.openxmlformats.org/officeDocument/2006/relationships/hyperlink" Target="https://raw.githubusercontent.com/ItsCryp7iC/Genshin-Image-Hosting/main/WorldBoss/FontemerUnihorn.png" TargetMode="External"/><Relationship Id="rId399" Type="http://schemas.openxmlformats.org/officeDocument/2006/relationships/hyperlink" Target="https://raw.githubusercontent.com/ItsCryp7iC/Genshin-Image-Hosting/main/WeeklyBoss/AshenHeart.png" TargetMode="External"/><Relationship Id="rId827" Type="http://schemas.openxmlformats.org/officeDocument/2006/relationships/hyperlink" Target="https://raw.githubusercontent.com/ItsCryp7iC/Genshin-Image-Hosting/main/WeaponMaterials/WineGobletofthePristineSea.png" TargetMode="External"/><Relationship Id="rId1012" Type="http://schemas.openxmlformats.org/officeDocument/2006/relationships/image" Target="../media/image503.png"/><Relationship Id="rId259" Type="http://schemas.openxmlformats.org/officeDocument/2006/relationships/hyperlink" Target="https://raw.githubusercontent.com/ItsCryp7iC/Genshin-Image-Hosting/main/WeeklyBoss/GildedScale.png" TargetMode="External"/><Relationship Id="rId466" Type="http://schemas.openxmlformats.org/officeDocument/2006/relationships/image" Target="../media/image233.png"/><Relationship Id="rId673" Type="http://schemas.openxmlformats.org/officeDocument/2006/relationships/hyperlink" Target="https://raw.githubusercontent.com/ItsCryp7iC/Genshin-Image-Hosting/main/WeaponMaterials/MaskoftheKijin.png" TargetMode="External"/><Relationship Id="rId880" Type="http://schemas.openxmlformats.org/officeDocument/2006/relationships/image" Target="../media/image437.png"/><Relationship Id="rId1096" Type="http://schemas.openxmlformats.org/officeDocument/2006/relationships/image" Target="../media/image545.png"/><Relationship Id="rId23" Type="http://schemas.openxmlformats.org/officeDocument/2006/relationships/hyperlink" Target="https://raw.githubusercontent.com/ItsCryp7iC/Genshin-Image-Hosting/main/WeeklyBoss/DvalinsPlume.png" TargetMode="External"/><Relationship Id="rId119" Type="http://schemas.openxmlformats.org/officeDocument/2006/relationships/hyperlink" Target="https://raw.githubusercontent.com/ItsCryp7iC/Genshin-Image-Hosting/main/Elements/electro.png" TargetMode="External"/><Relationship Id="rId326" Type="http://schemas.openxmlformats.org/officeDocument/2006/relationships/image" Target="../media/image163.png"/><Relationship Id="rId533" Type="http://schemas.openxmlformats.org/officeDocument/2006/relationships/image" Target="../media/image264.png"/><Relationship Id="rId978" Type="http://schemas.openxmlformats.org/officeDocument/2006/relationships/image" Target="../media/image486.png"/><Relationship Id="rId740" Type="http://schemas.openxmlformats.org/officeDocument/2006/relationships/image" Target="../media/image367.png"/><Relationship Id="rId838" Type="http://schemas.openxmlformats.org/officeDocument/2006/relationships/image" Target="../media/image416.png"/><Relationship Id="rId1023" Type="http://schemas.openxmlformats.org/officeDocument/2006/relationships/hyperlink" Target="https://raw.githubusercontent.com/ItsCryp7iC/Genshin-Image-Hosting/main/Weapons/SkyriderGreatsword.png" TargetMode="External"/><Relationship Id="rId172" Type="http://schemas.openxmlformats.org/officeDocument/2006/relationships/image" Target="../media/image86.png"/><Relationship Id="rId477" Type="http://schemas.openxmlformats.org/officeDocument/2006/relationships/hyperlink" Target="https://raw.githubusercontent.com/ItsCryp7iC/Genshin-Image-Hosting/main/Gems/VajradaAmethystChunk.png" TargetMode="External"/><Relationship Id="rId600" Type="http://schemas.openxmlformats.org/officeDocument/2006/relationships/image" Target="../media/image297.png"/><Relationship Id="rId684" Type="http://schemas.openxmlformats.org/officeDocument/2006/relationships/image" Target="../media/image339.png"/><Relationship Id="rId337" Type="http://schemas.openxmlformats.org/officeDocument/2006/relationships/hyperlink" Target="https://raw.githubusercontent.com/ItsCryp7iC/Genshin-Image-Hosting/main/MonsterDrops/1Star/FadedRedSatin.png" TargetMode="External"/><Relationship Id="rId891" Type="http://schemas.openxmlformats.org/officeDocument/2006/relationships/hyperlink" Target="https://raw.githubusercontent.com/ItsCryp7iC/Genshin-Image-Hosting/main/Weapons/LionsRoar.png" TargetMode="External"/><Relationship Id="rId905" Type="http://schemas.openxmlformats.org/officeDocument/2006/relationships/hyperlink" Target="https://raw.githubusercontent.com/ItsCryp7iC/Genshin-Image-Hosting/main/Characters/Chevreuse.png" TargetMode="External"/><Relationship Id="rId989" Type="http://schemas.openxmlformats.org/officeDocument/2006/relationships/hyperlink" Target="https://raw.githubusercontent.com/ItsCryp7iC/Genshin-Image-Hosting/main/Weapons/RedhornStonethresher.png" TargetMode="External"/><Relationship Id="rId34" Type="http://schemas.openxmlformats.org/officeDocument/2006/relationships/image" Target="../media/image17.png"/><Relationship Id="rId544" Type="http://schemas.openxmlformats.org/officeDocument/2006/relationships/image" Target="../media/image269.png"/><Relationship Id="rId751" Type="http://schemas.openxmlformats.org/officeDocument/2006/relationships/hyperlink" Target="https://raw.githubusercontent.com/ItsCryp7iC/Genshin-Image-Hosting/main/Characters/Dehya.png" TargetMode="External"/><Relationship Id="rId849" Type="http://schemas.openxmlformats.org/officeDocument/2006/relationships/hyperlink" Target="https://raw.githubusercontent.com/ItsCryp7iC/Genshin-Image-Hosting/main/Characters/Lisa.png" TargetMode="External"/><Relationship Id="rId183" Type="http://schemas.openxmlformats.org/officeDocument/2006/relationships/hyperlink" Target="https://raw.githubusercontent.com/ItsCryp7iC/Genshin-Image-Hosting/main/LocalSpecialties/ClearwaterJade.png" TargetMode="External"/><Relationship Id="rId390" Type="http://schemas.openxmlformats.org/officeDocument/2006/relationships/image" Target="../media/image195.png"/><Relationship Id="rId404" Type="http://schemas.openxmlformats.org/officeDocument/2006/relationships/image" Target="../media/image202.png"/><Relationship Id="rId611" Type="http://schemas.openxmlformats.org/officeDocument/2006/relationships/hyperlink" Target="https://raw.githubusercontent.com/ItsCryp7iC/Genshin-Image-Hosting/main/Gems/PrithivaTopazFragment.png" TargetMode="External"/><Relationship Id="rId1034" Type="http://schemas.openxmlformats.org/officeDocument/2006/relationships/image" Target="../media/image514.png"/><Relationship Id="rId250" Type="http://schemas.openxmlformats.org/officeDocument/2006/relationships/image" Target="../media/image125.png"/><Relationship Id="rId488" Type="http://schemas.openxmlformats.org/officeDocument/2006/relationships/hyperlink" Target="https://raw.githubusercontent.com/ItsCryp7iC/Genshin-Image-Hosting/main/TalentBooks/GuidetoTransience.png" TargetMode="External"/><Relationship Id="rId695" Type="http://schemas.openxmlformats.org/officeDocument/2006/relationships/hyperlink" Target="https://raw.githubusercontent.com/ItsCryp7iC/Genshin-Image-Hosting/main/WeaponMaterials/IronTalismanoftheForestDew.png" TargetMode="External"/><Relationship Id="rId709" Type="http://schemas.openxmlformats.org/officeDocument/2006/relationships/hyperlink" Target="https://raw.githubusercontent.com/ItsCryp7iC/Genshin-Image-Hosting/main/Weapons/EyeofPerception.png" TargetMode="External"/><Relationship Id="rId916" Type="http://schemas.openxmlformats.org/officeDocument/2006/relationships/image" Target="../media/image455.png"/><Relationship Id="rId1101" Type="http://schemas.openxmlformats.org/officeDocument/2006/relationships/hyperlink" Target="https://raw.githubusercontent.com/ItsCryp7iC/Genshin-Image-Hosting/main/Weapons/UrakuMisugiri.png" TargetMode="External"/><Relationship Id="rId45" Type="http://schemas.openxmlformats.org/officeDocument/2006/relationships/hyperlink" Target="https://raw.githubusercontent.com/ItsCryp7iC/Genshin-Image-Hosting/main/Experience/MysticEnhancementOre.png" TargetMode="External"/><Relationship Id="rId110" Type="http://schemas.openxmlformats.org/officeDocument/2006/relationships/image" Target="../media/image55.png"/><Relationship Id="rId348" Type="http://schemas.openxmlformats.org/officeDocument/2006/relationships/image" Target="../media/image174.png"/><Relationship Id="rId555" Type="http://schemas.openxmlformats.org/officeDocument/2006/relationships/hyperlink" Target="https://raw.githubusercontent.com/ItsCryp7iC/Genshin-Image-Hosting/main/WeeklyBoss/LightlessEyeoftheMaelstrom.png" TargetMode="External"/><Relationship Id="rId762" Type="http://schemas.openxmlformats.org/officeDocument/2006/relationships/image" Target="../media/image378.png"/><Relationship Id="rId194" Type="http://schemas.openxmlformats.org/officeDocument/2006/relationships/image" Target="../media/image97.png"/><Relationship Id="rId208" Type="http://schemas.openxmlformats.org/officeDocument/2006/relationships/image" Target="../media/image104.png"/><Relationship Id="rId415" Type="http://schemas.openxmlformats.org/officeDocument/2006/relationships/hyperlink" Target="https://raw.githubusercontent.com/ItsCryp7iC/Genshin-Image-Hosting/main/LocalSpecialties/NilotpalaLotus.png" TargetMode="External"/><Relationship Id="rId622" Type="http://schemas.openxmlformats.org/officeDocument/2006/relationships/image" Target="../media/image308.png"/><Relationship Id="rId1045" Type="http://schemas.openxmlformats.org/officeDocument/2006/relationships/hyperlink" Target="https://raw.githubusercontent.com/ItsCryp7iC/Genshin-Image-Hosting/main/Weapons/SongofStillness.png" TargetMode="External"/><Relationship Id="rId261" Type="http://schemas.openxmlformats.org/officeDocument/2006/relationships/hyperlink" Target="https://raw.githubusercontent.com/ItsCryp7iC/Genshin-Image-Hosting/main/TalentBooks/PhilosophiesofDiligence.png" TargetMode="External"/><Relationship Id="rId499" Type="http://schemas.openxmlformats.org/officeDocument/2006/relationships/hyperlink" Target="https://raw.githubusercontent.com/ItsCryp7iC/Genshin-Image-Hosting/main/Gems/VayudaTurquoiseSilver.png" TargetMode="External"/><Relationship Id="rId927" Type="http://schemas.openxmlformats.org/officeDocument/2006/relationships/hyperlink" Target="https://raw.githubusercontent.com/ItsCryp7iC/Genshin-Image-Hosting/main/Weapons/MemoryofDust.png" TargetMode="External"/><Relationship Id="rId1112" Type="http://schemas.openxmlformats.org/officeDocument/2006/relationships/image" Target="../media/image553.png"/><Relationship Id="rId56" Type="http://schemas.openxmlformats.org/officeDocument/2006/relationships/image" Target="../media/image28.png"/><Relationship Id="rId359" Type="http://schemas.openxmlformats.org/officeDocument/2006/relationships/hyperlink" Target="https://raw.githubusercontent.com/ItsCryp7iC/Genshin-Image-Hosting/main/Weapons/BlackcliffAgate.png" TargetMode="External"/><Relationship Id="rId566" Type="http://schemas.openxmlformats.org/officeDocument/2006/relationships/image" Target="../media/image280.png"/><Relationship Id="rId773" Type="http://schemas.openxmlformats.org/officeDocument/2006/relationships/hyperlink" Target="https://raw.githubusercontent.com/ItsCryp7iC/Genshin-Image-Hosting/main/WeaponMaterials/FragmentofanAncientChord.png" TargetMode="External"/><Relationship Id="rId121" Type="http://schemas.openxmlformats.org/officeDocument/2006/relationships/hyperlink" Target="https://raw.githubusercontent.com/ItsCryp7iC/Genshin-Image-Hosting/main/Weapons/AlleyHunter.png" TargetMode="External"/><Relationship Id="rId219" Type="http://schemas.openxmlformats.org/officeDocument/2006/relationships/hyperlink" Target="https://raw.githubusercontent.com/ItsCryp7iC/Genshin-Image-Hosting/main/Gems/AgnidusAgateFragment.png" TargetMode="External"/><Relationship Id="rId426" Type="http://schemas.openxmlformats.org/officeDocument/2006/relationships/image" Target="../media/image213.png"/><Relationship Id="rId633" Type="http://schemas.openxmlformats.org/officeDocument/2006/relationships/hyperlink" Target="https://raw.githubusercontent.com/ItsCryp7iC/Genshin-Image-Hosting/main/Characters/Fischl.png" TargetMode="External"/><Relationship Id="rId980" Type="http://schemas.openxmlformats.org/officeDocument/2006/relationships/image" Target="../media/image487.png"/><Relationship Id="rId1056" Type="http://schemas.openxmlformats.org/officeDocument/2006/relationships/image" Target="../media/image525.png"/><Relationship Id="rId840" Type="http://schemas.openxmlformats.org/officeDocument/2006/relationships/image" Target="../media/image417.png"/><Relationship Id="rId938" Type="http://schemas.openxmlformats.org/officeDocument/2006/relationships/image" Target="../media/image466.png"/><Relationship Id="rId67" Type="http://schemas.openxmlformats.org/officeDocument/2006/relationships/hyperlink" Target="https://raw.githubusercontent.com/ItsCryp7iC/Genshin-Image-Hosting/main/MonsterDrops/3Star/WeatheredArrowhead.png" TargetMode="External"/><Relationship Id="rId272" Type="http://schemas.openxmlformats.org/officeDocument/2006/relationships/image" Target="../media/image136.png"/><Relationship Id="rId577" Type="http://schemas.openxmlformats.org/officeDocument/2006/relationships/hyperlink" Target="https://raw.githubusercontent.com/ItsCryp7iC/Genshin-Image-Hosting/main/WeaponMaterials/JadeBranchofaDistantSea.png" TargetMode="External"/><Relationship Id="rId700" Type="http://schemas.openxmlformats.org/officeDocument/2006/relationships/image" Target="../media/image347.png"/><Relationship Id="rId1123" Type="http://schemas.openxmlformats.org/officeDocument/2006/relationships/hyperlink" Target="https://raw.githubusercontent.com/ItsCryp7iC/Genshin-Image-Hosting/main/Weapons/WolfsGravestone.png" TargetMode="External"/><Relationship Id="rId132" Type="http://schemas.openxmlformats.org/officeDocument/2006/relationships/image" Target="../media/image66.png"/><Relationship Id="rId784" Type="http://schemas.openxmlformats.org/officeDocument/2006/relationships/image" Target="../media/image389.png"/><Relationship Id="rId991" Type="http://schemas.openxmlformats.org/officeDocument/2006/relationships/hyperlink" Target="https://raw.githubusercontent.com/ItsCryp7iC/Genshin-Image-Hosting/main/Weapons/RightfulReward.png" TargetMode="External"/><Relationship Id="rId1067" Type="http://schemas.openxmlformats.org/officeDocument/2006/relationships/hyperlink" Target="https://raw.githubusercontent.com/ItsCryp7iC/Genshin-Image-Hosting/main/Weapons/TheCatch.png" TargetMode="External"/><Relationship Id="rId437" Type="http://schemas.openxmlformats.org/officeDocument/2006/relationships/hyperlink" Target="https://raw.githubusercontent.com/ItsCryp7iC/Genshin-Image-Hosting/main/WeaponMaterials/DivineBodyfromGuyun.png" TargetMode="External"/><Relationship Id="rId644" Type="http://schemas.openxmlformats.org/officeDocument/2006/relationships/image" Target="../media/image319.png"/><Relationship Id="rId851" Type="http://schemas.openxmlformats.org/officeDocument/2006/relationships/hyperlink" Target="https://raw.githubusercontent.com/ItsCryp7iC/Genshin-Image-Hosting/main/Weapons/IbisPiercer.png" TargetMode="External"/><Relationship Id="rId283" Type="http://schemas.openxmlformats.org/officeDocument/2006/relationships/hyperlink" Target="https://raw.githubusercontent.com/ItsCryp7iC/Genshin-Image-Hosting/main/Gems/ShivadaJadeGemstone.png" TargetMode="External"/><Relationship Id="rId490" Type="http://schemas.openxmlformats.org/officeDocument/2006/relationships/hyperlink" Target="https://raw.githubusercontent.com/ItsCryp7iC/Genshin-Image-Hosting/main/Weapons/CashflowSupervision.png" TargetMode="External"/><Relationship Id="rId504" Type="http://schemas.openxmlformats.org/officeDocument/2006/relationships/image" Target="../media/image251.png"/><Relationship Id="rId711" Type="http://schemas.openxmlformats.org/officeDocument/2006/relationships/hyperlink" Target="https://raw.githubusercontent.com/ItsCryp7iC/Genshin-Image-Hosting/main/WeaponMaterials/GoldenTalismanoftheForestDew.png" TargetMode="External"/><Relationship Id="rId949" Type="http://schemas.openxmlformats.org/officeDocument/2006/relationships/hyperlink" Target="https://raw.githubusercontent.com/ItsCryp7iC/Genshin-Image-Hosting/main/Characters/YunJin.png" TargetMode="External"/><Relationship Id="rId78" Type="http://schemas.openxmlformats.org/officeDocument/2006/relationships/image" Target="../media/image39.png"/><Relationship Id="rId143" Type="http://schemas.openxmlformats.org/officeDocument/2006/relationships/hyperlink" Target="https://raw.githubusercontent.com/ItsCryp7iC/Genshin-Image-Hosting/main/MonsterDrops/2Star/SlimeSecretions.png" TargetMode="External"/><Relationship Id="rId350" Type="http://schemas.openxmlformats.org/officeDocument/2006/relationships/image" Target="../media/image175.png"/><Relationship Id="rId588" Type="http://schemas.openxmlformats.org/officeDocument/2006/relationships/image" Target="../media/image291.png"/><Relationship Id="rId795" Type="http://schemas.openxmlformats.org/officeDocument/2006/relationships/hyperlink" Target="https://raw.githubusercontent.com/ItsCryp7iC/Genshin-Image-Hosting/main/Weapons/ForestRegalia.png" TargetMode="External"/><Relationship Id="rId809" Type="http://schemas.openxmlformats.org/officeDocument/2006/relationships/hyperlink" Target="https://raw.githubusercontent.com/ItsCryp7iC/Genshin-Image-Hosting/main/WeaponMaterials/SpringofPureSacredDewdrop.png" TargetMode="External"/><Relationship Id="rId9" Type="http://schemas.openxmlformats.org/officeDocument/2006/relationships/hyperlink" Target="https://raw.githubusercontent.com/ItsCryp7iC/Genshin-Image-Hosting/main/WorldBoss/BasaltPillar.png" TargetMode="External"/><Relationship Id="rId210" Type="http://schemas.openxmlformats.org/officeDocument/2006/relationships/image" Target="../media/image105.png"/><Relationship Id="rId448" Type="http://schemas.openxmlformats.org/officeDocument/2006/relationships/image" Target="../media/image224.png"/><Relationship Id="rId655" Type="http://schemas.openxmlformats.org/officeDocument/2006/relationships/hyperlink" Target="https://raw.githubusercontent.com/ItsCryp7iC/Genshin-Image-Hosting/main/WeaponMaterials/MaskoftheTigersBite.png" TargetMode="External"/><Relationship Id="rId862" Type="http://schemas.openxmlformats.org/officeDocument/2006/relationships/image" Target="../media/image428.png"/><Relationship Id="rId1078" Type="http://schemas.openxmlformats.org/officeDocument/2006/relationships/image" Target="../media/image536.png"/><Relationship Id="rId294" Type="http://schemas.openxmlformats.org/officeDocument/2006/relationships/image" Target="../media/image147.png"/><Relationship Id="rId308" Type="http://schemas.openxmlformats.org/officeDocument/2006/relationships/image" Target="../media/image154.png"/><Relationship Id="rId515" Type="http://schemas.openxmlformats.org/officeDocument/2006/relationships/image" Target="../media/image256.png"/><Relationship Id="rId722" Type="http://schemas.openxmlformats.org/officeDocument/2006/relationships/image" Target="../media/image358.png"/><Relationship Id="rId89" Type="http://schemas.openxmlformats.org/officeDocument/2006/relationships/hyperlink" Target="https://raw.githubusercontent.com/ItsCryp7iC/Genshin-Image-Hosting/main/Characters/Bennett.png" TargetMode="External"/><Relationship Id="rId154" Type="http://schemas.openxmlformats.org/officeDocument/2006/relationships/image" Target="../media/image77.png"/><Relationship Id="rId361" Type="http://schemas.openxmlformats.org/officeDocument/2006/relationships/hyperlink" Target="https://raw.githubusercontent.com/ItsCryp7iC/Genshin-Image-Hosting/main/WeaponMaterials/DreamoftheDandelionGladiator.png" TargetMode="External"/><Relationship Id="rId599" Type="http://schemas.openxmlformats.org/officeDocument/2006/relationships/hyperlink" Target="https://raw.githubusercontent.com/ItsCryp7iC/Genshin-Image-Hosting/main/Gems/PrithivaTopazSilver.png" TargetMode="External"/><Relationship Id="rId1005" Type="http://schemas.openxmlformats.org/officeDocument/2006/relationships/hyperlink" Target="https://raw.githubusercontent.com/ItsCryp7iC/Genshin-Image-Hosting/main/Weapons/SacrificialBow.png" TargetMode="External"/><Relationship Id="rId459" Type="http://schemas.openxmlformats.org/officeDocument/2006/relationships/hyperlink" Target="https://raw.githubusercontent.com/ItsCryp7iC/Genshin-Image-Hosting/main/LocalSpecialties/Violetgrass.png" TargetMode="External"/><Relationship Id="rId666" Type="http://schemas.openxmlformats.org/officeDocument/2006/relationships/image" Target="../media/image330.png"/><Relationship Id="rId873" Type="http://schemas.openxmlformats.org/officeDocument/2006/relationships/hyperlink" Target="https://raw.githubusercontent.com/ItsCryp7iC/Genshin-Image-Hosting/main/Characters/ShikanoinHeizou.png" TargetMode="External"/><Relationship Id="rId1089" Type="http://schemas.openxmlformats.org/officeDocument/2006/relationships/hyperlink" Target="https://raw.githubusercontent.com/ItsCryp7iC/Genshin-Image-Hosting/main/Weapons/TomeoftheEternalFlow.png" TargetMode="External"/><Relationship Id="rId16" Type="http://schemas.openxmlformats.org/officeDocument/2006/relationships/image" Target="../media/image8.png"/><Relationship Id="rId221" Type="http://schemas.openxmlformats.org/officeDocument/2006/relationships/hyperlink" Target="https://raw.githubusercontent.com/ItsCryp7iC/Genshin-Image-Hosting/main/Misc/options.png" TargetMode="External"/><Relationship Id="rId319" Type="http://schemas.openxmlformats.org/officeDocument/2006/relationships/hyperlink" Target="https://raw.githubusercontent.com/ItsCryp7iC/Genshin-Image-Hosting/main/LocalSpecialties/FluorescentFungus.png" TargetMode="External"/><Relationship Id="rId526" Type="http://schemas.openxmlformats.org/officeDocument/2006/relationships/image" Target="../media/image261.png"/><Relationship Id="rId733" Type="http://schemas.openxmlformats.org/officeDocument/2006/relationships/hyperlink" Target="https://raw.githubusercontent.com/ItsCryp7iC/Genshin-Image-Hosting/main/Weapons/FavoniusGreatsword.png" TargetMode="External"/><Relationship Id="rId940" Type="http://schemas.openxmlformats.org/officeDocument/2006/relationships/image" Target="../media/image467.png"/><Relationship Id="rId1016" Type="http://schemas.openxmlformats.org/officeDocument/2006/relationships/image" Target="../media/image505.png"/><Relationship Id="rId165" Type="http://schemas.openxmlformats.org/officeDocument/2006/relationships/hyperlink" Target="https://raw.githubusercontent.com/ItsCryp7iC/Genshin-Image-Hosting/main/TalentBooks/PhilosophiesofJustice.png" TargetMode="External"/><Relationship Id="rId372" Type="http://schemas.openxmlformats.org/officeDocument/2006/relationships/image" Target="../media/image186.png"/><Relationship Id="rId677" Type="http://schemas.openxmlformats.org/officeDocument/2006/relationships/hyperlink" Target="https://raw.githubusercontent.com/ItsCryp7iC/Genshin-Image-Hosting/main/LocalSpecialties/Trishiraite.png" TargetMode="External"/><Relationship Id="rId800" Type="http://schemas.openxmlformats.org/officeDocument/2006/relationships/image" Target="../media/image397.png"/><Relationship Id="rId232" Type="http://schemas.openxmlformats.org/officeDocument/2006/relationships/image" Target="../media/image116.png"/><Relationship Id="rId884" Type="http://schemas.openxmlformats.org/officeDocument/2006/relationships/image" Target="../media/image439.png"/><Relationship Id="rId27" Type="http://schemas.openxmlformats.org/officeDocument/2006/relationships/hyperlink" Target="https://raw.githubusercontent.com/ItsCryp7iC/Genshin-Image-Hosting/main/MonsterDrops/2Star/StainedMask.png" TargetMode="External"/><Relationship Id="rId537" Type="http://schemas.openxmlformats.org/officeDocument/2006/relationships/hyperlink" Target="https://raw.githubusercontent.com/ItsCryp7iC/Genshin-Image-Hosting/main/WorldBoss/ArtificedSpareClockworkComponentCoppelius.png" TargetMode="External"/><Relationship Id="rId744" Type="http://schemas.openxmlformats.org/officeDocument/2006/relationships/image" Target="../media/image369.png"/><Relationship Id="rId951" Type="http://schemas.openxmlformats.org/officeDocument/2006/relationships/hyperlink" Target="https://raw.githubusercontent.com/ItsCryp7iC/Genshin-Image-Hosting/main/Weapons/MouunsMoon.png" TargetMode="External"/><Relationship Id="rId80" Type="http://schemas.openxmlformats.org/officeDocument/2006/relationships/image" Target="../media/image40.png"/><Relationship Id="rId176" Type="http://schemas.openxmlformats.org/officeDocument/2006/relationships/image" Target="../media/image88.png"/><Relationship Id="rId383" Type="http://schemas.openxmlformats.org/officeDocument/2006/relationships/hyperlink" Target="https://raw.githubusercontent.com/ItsCryp7iC/Genshin-Image-Hosting/main/Gems/NagadusEmeraldSilver.png" TargetMode="External"/><Relationship Id="rId590" Type="http://schemas.openxmlformats.org/officeDocument/2006/relationships/image" Target="../media/image292.png"/><Relationship Id="rId604" Type="http://schemas.openxmlformats.org/officeDocument/2006/relationships/image" Target="../media/image299.png"/><Relationship Id="rId811" Type="http://schemas.openxmlformats.org/officeDocument/2006/relationships/hyperlink" Target="https://raw.githubusercontent.com/ItsCryp7iC/Genshin-Image-Hosting/main/Characters/Sayu.png" TargetMode="External"/><Relationship Id="rId1027" Type="http://schemas.openxmlformats.org/officeDocument/2006/relationships/hyperlink" Target="https://raw.githubusercontent.com/ItsCryp7iC/Genshin-Image-Hosting/main/Weapons/SkywardAtlas.png" TargetMode="External"/><Relationship Id="rId243" Type="http://schemas.openxmlformats.org/officeDocument/2006/relationships/hyperlink" Target="https://raw.githubusercontent.com/ItsCryp7iC/Genshin-Image-Hosting/main/LocalSpecialties/CrystalMarrow.png" TargetMode="External"/><Relationship Id="rId450" Type="http://schemas.openxmlformats.org/officeDocument/2006/relationships/image" Target="../media/image225.png"/><Relationship Id="rId688" Type="http://schemas.openxmlformats.org/officeDocument/2006/relationships/image" Target="../media/image341.png"/><Relationship Id="rId895" Type="http://schemas.openxmlformats.org/officeDocument/2006/relationships/hyperlink" Target="https://raw.githubusercontent.com/ItsCryp7iC/Genshin-Image-Hosting/main/Weapons/LithicBlade.png" TargetMode="External"/><Relationship Id="rId909" Type="http://schemas.openxmlformats.org/officeDocument/2006/relationships/hyperlink" Target="https://raw.githubusercontent.com/ItsCryp7iC/Genshin-Image-Hosting/main/Characters/Cyno.png" TargetMode="External"/><Relationship Id="rId1080" Type="http://schemas.openxmlformats.org/officeDocument/2006/relationships/image" Target="../media/image537.png"/><Relationship Id="rId38" Type="http://schemas.openxmlformats.org/officeDocument/2006/relationships/image" Target="../media/image19.png"/><Relationship Id="rId103" Type="http://schemas.openxmlformats.org/officeDocument/2006/relationships/hyperlink" Target="https://raw.githubusercontent.com/ItsCryp7iC/Genshin-Image-Hosting/main/WorldBoss/LightningPrism.png" TargetMode="External"/><Relationship Id="rId310" Type="http://schemas.openxmlformats.org/officeDocument/2006/relationships/image" Target="../media/image155.png"/><Relationship Id="rId548" Type="http://schemas.openxmlformats.org/officeDocument/2006/relationships/image" Target="../media/image271.png"/><Relationship Id="rId755" Type="http://schemas.openxmlformats.org/officeDocument/2006/relationships/hyperlink" Target="https://raw.githubusercontent.com/ItsCryp7iC/Genshin-Image-Hosting/main/WeaponMaterials/RemnantGlowofScorchingMight.png" TargetMode="External"/><Relationship Id="rId962" Type="http://schemas.openxmlformats.org/officeDocument/2006/relationships/image" Target="../media/image478.png"/><Relationship Id="rId91" Type="http://schemas.openxmlformats.org/officeDocument/2006/relationships/hyperlink" Target="https://raw.githubusercontent.com/ItsCryp7iC/Genshin-Image-Hosting/main/Elements/pyro.png" TargetMode="External"/><Relationship Id="rId187" Type="http://schemas.openxmlformats.org/officeDocument/2006/relationships/hyperlink" Target="https://raw.githubusercontent.com/ItsCryp7iC/Genshin-Image-Hosting/main/Misc/inventory.png" TargetMode="External"/><Relationship Id="rId394" Type="http://schemas.openxmlformats.org/officeDocument/2006/relationships/image" Target="../media/image197.png"/><Relationship Id="rId408" Type="http://schemas.openxmlformats.org/officeDocument/2006/relationships/image" Target="../media/image204.png"/><Relationship Id="rId615" Type="http://schemas.openxmlformats.org/officeDocument/2006/relationships/hyperlink" Target="https://raw.githubusercontent.com/ItsCryp7iC/Genshin-Image-Hosting/main/WeaponMaterials/NarukamisJoy.png" TargetMode="External"/><Relationship Id="rId822" Type="http://schemas.openxmlformats.org/officeDocument/2006/relationships/image" Target="../media/image408.png"/><Relationship Id="rId1038" Type="http://schemas.openxmlformats.org/officeDocument/2006/relationships/image" Target="../media/image516.png"/><Relationship Id="rId254" Type="http://schemas.openxmlformats.org/officeDocument/2006/relationships/image" Target="../media/image127.png"/><Relationship Id="rId699" Type="http://schemas.openxmlformats.org/officeDocument/2006/relationships/hyperlink" Target="https://raw.githubusercontent.com/ItsCryp7iC/Genshin-Image-Hosting/main/Weapons/EverlastingMoonglow.png" TargetMode="External"/><Relationship Id="rId1091" Type="http://schemas.openxmlformats.org/officeDocument/2006/relationships/hyperlink" Target="https://raw.githubusercontent.com/ItsCryp7iC/Genshin-Image-Hosting/main/Weapons/ToukabouShigure.png" TargetMode="External"/><Relationship Id="rId1105" Type="http://schemas.openxmlformats.org/officeDocument/2006/relationships/hyperlink" Target="https://raw.githubusercontent.com/ItsCryp7iC/Genshin-Image-Hosting/main/Weapons/VortexVanquisher.png" TargetMode="External"/><Relationship Id="rId49" Type="http://schemas.openxmlformats.org/officeDocument/2006/relationships/hyperlink" Target="https://raw.githubusercontent.com/ItsCryp7iC/Genshin-Image-Hosting/main/Elements/dendro.png" TargetMode="External"/><Relationship Id="rId114" Type="http://schemas.openxmlformats.org/officeDocument/2006/relationships/image" Target="../media/image57.png"/><Relationship Id="rId461" Type="http://schemas.openxmlformats.org/officeDocument/2006/relationships/hyperlink" Target="https://raw.githubusercontent.com/ItsCryp7iC/Genshin-Image-Hosting/main/WorldBoss/MajesticHookedBeak.png" TargetMode="External"/><Relationship Id="rId559" Type="http://schemas.openxmlformats.org/officeDocument/2006/relationships/hyperlink" Target="https://raw.githubusercontent.com/ItsCryp7iC/Genshin-Image-Hosting/main/LocalSpecialties/RainbowRose.png" TargetMode="External"/><Relationship Id="rId766" Type="http://schemas.openxmlformats.org/officeDocument/2006/relationships/image" Target="../media/image380.png"/><Relationship Id="rId198" Type="http://schemas.openxmlformats.org/officeDocument/2006/relationships/image" Target="../media/image99.png"/><Relationship Id="rId321" Type="http://schemas.openxmlformats.org/officeDocument/2006/relationships/hyperlink" Target="https://raw.githubusercontent.com/ItsCryp7iC/Genshin-Image-Hosting/main/Gems/VarunadaLazuriteFragment.png" TargetMode="External"/><Relationship Id="rId419" Type="http://schemas.openxmlformats.org/officeDocument/2006/relationships/hyperlink" Target="https://raw.githubusercontent.com/ItsCryp7iC/Genshin-Image-Hosting/main/WeeklyBoss/MoltenMoment.png" TargetMode="External"/><Relationship Id="rId626" Type="http://schemas.openxmlformats.org/officeDocument/2006/relationships/image" Target="../media/image310.png"/><Relationship Id="rId973" Type="http://schemas.openxmlformats.org/officeDocument/2006/relationships/hyperlink" Target="https://raw.githubusercontent.com/ItsCryp7iC/Genshin-Image-Hosting/main/Weapons/PrototypeArchaic.png" TargetMode="External"/><Relationship Id="rId1049" Type="http://schemas.openxmlformats.org/officeDocument/2006/relationships/hyperlink" Target="https://raw.githubusercontent.com/ItsCryp7iC/Genshin-Image-Hosting/main/Weapons/StaffofHoma.png" TargetMode="External"/><Relationship Id="rId833" Type="http://schemas.openxmlformats.org/officeDocument/2006/relationships/hyperlink" Target="https://raw.githubusercontent.com/ItsCryp7iC/Genshin-Image-Hosting/main/WeaponMaterials/SilverGobletofthePristineSea.png" TargetMode="External"/><Relationship Id="rId1116" Type="http://schemas.openxmlformats.org/officeDocument/2006/relationships/image" Target="../media/image555.png"/><Relationship Id="rId265" Type="http://schemas.openxmlformats.org/officeDocument/2006/relationships/hyperlink" Target="https://raw.githubusercontent.com/ItsCryp7iC/Genshin-Image-Hosting/main/WorldBoss/CrystallineBloom.png" TargetMode="External"/><Relationship Id="rId472" Type="http://schemas.openxmlformats.org/officeDocument/2006/relationships/image" Target="../media/image236.png"/><Relationship Id="rId900" Type="http://schemas.openxmlformats.org/officeDocument/2006/relationships/image" Target="../media/image447.png"/><Relationship Id="rId125" Type="http://schemas.openxmlformats.org/officeDocument/2006/relationships/hyperlink" Target="https://raw.githubusercontent.com/ItsCryp7iC/Genshin-Image-Hosting/main/Experience/EnhancementOre.png" TargetMode="External"/><Relationship Id="rId332" Type="http://schemas.openxmlformats.org/officeDocument/2006/relationships/image" Target="../media/image166.png"/><Relationship Id="rId777" Type="http://schemas.openxmlformats.org/officeDocument/2006/relationships/hyperlink" Target="https://raw.githubusercontent.com/ItsCryp7iC/Genshin-Image-Hosting/main/Weapons/FinaleoftheDeep.png" TargetMode="External"/><Relationship Id="rId984" Type="http://schemas.openxmlformats.org/officeDocument/2006/relationships/image" Target="../media/image489.png"/><Relationship Id="rId637" Type="http://schemas.openxmlformats.org/officeDocument/2006/relationships/hyperlink" Target="https://raw.githubusercontent.com/ItsCryp7iC/Genshin-Image-Hosting/main/LocalSpecialties/Scarab.png" TargetMode="External"/><Relationship Id="rId844" Type="http://schemas.openxmlformats.org/officeDocument/2006/relationships/image" Target="../media/image419.png"/><Relationship Id="rId276" Type="http://schemas.openxmlformats.org/officeDocument/2006/relationships/image" Target="../media/image138.png"/><Relationship Id="rId483" Type="http://schemas.openxmlformats.org/officeDocument/2006/relationships/hyperlink" Target="https://raw.githubusercontent.com/ItsCryp7iC/Genshin-Image-Hosting/main/Characters/TravelerGeo.png" TargetMode="External"/><Relationship Id="rId690" Type="http://schemas.openxmlformats.org/officeDocument/2006/relationships/image" Target="../media/image342.png"/><Relationship Id="rId704" Type="http://schemas.openxmlformats.org/officeDocument/2006/relationships/image" Target="../media/image349.png"/><Relationship Id="rId911" Type="http://schemas.openxmlformats.org/officeDocument/2006/relationships/hyperlink" Target="https://raw.githubusercontent.com/ItsCryp7iC/Genshin-Image-Hosting/main/Weapons/MagicGuide.png" TargetMode="External"/><Relationship Id="rId40" Type="http://schemas.openxmlformats.org/officeDocument/2006/relationships/image" Target="../media/image20.png"/><Relationship Id="rId136" Type="http://schemas.openxmlformats.org/officeDocument/2006/relationships/image" Target="../media/image68.png"/><Relationship Id="rId343" Type="http://schemas.openxmlformats.org/officeDocument/2006/relationships/hyperlink" Target="https://raw.githubusercontent.com/ItsCryp7iC/Genshin-Image-Hosting/main/Gems/VarunadaLazuriteChunk.png" TargetMode="External"/><Relationship Id="rId550" Type="http://schemas.openxmlformats.org/officeDocument/2006/relationships/image" Target="../media/image272.png"/><Relationship Id="rId788" Type="http://schemas.openxmlformats.org/officeDocument/2006/relationships/image" Target="../media/image391.png"/><Relationship Id="rId995" Type="http://schemas.openxmlformats.org/officeDocument/2006/relationships/hyperlink" Target="https://raw.githubusercontent.com/ItsCryp7iC/Genshin-Image-Hosting/main/Weapons/RoyalGreatsword.png" TargetMode="External"/><Relationship Id="rId203" Type="http://schemas.openxmlformats.org/officeDocument/2006/relationships/hyperlink" Target="https://raw.githubusercontent.com/ItsCryp7iC/Genshin-Image-Hosting/main/MonsterDrops/3Star/EnergyNectar.png" TargetMode="External"/><Relationship Id="rId648" Type="http://schemas.openxmlformats.org/officeDocument/2006/relationships/image" Target="../media/image321.png"/><Relationship Id="rId855" Type="http://schemas.openxmlformats.org/officeDocument/2006/relationships/hyperlink" Target="https://raw.githubusercontent.com/ItsCryp7iC/Genshin-Image-Hosting/main/Weapons/IronSting.png" TargetMode="External"/><Relationship Id="rId1040" Type="http://schemas.openxmlformats.org/officeDocument/2006/relationships/image" Target="../media/image517.png"/><Relationship Id="rId287" Type="http://schemas.openxmlformats.org/officeDocument/2006/relationships/hyperlink" Target="https://raw.githubusercontent.com/ItsCryp7iC/Genshin-Image-Hosting/main/MonsterDrops/1Star/SpectralHusk.png" TargetMode="External"/><Relationship Id="rId410" Type="http://schemas.openxmlformats.org/officeDocument/2006/relationships/image" Target="../media/image205.png"/><Relationship Id="rId494" Type="http://schemas.openxmlformats.org/officeDocument/2006/relationships/hyperlink" Target="https://raw.githubusercontent.com/ItsCryp7iC/Genshin-Image-Hosting/main/Characters/TravelerElectro.png" TargetMode="External"/><Relationship Id="rId508" Type="http://schemas.openxmlformats.org/officeDocument/2006/relationships/hyperlink" Target="https://raw.githubusercontent.com/ItsCryp7iC/Genshin-Image-Hosting/main/TalentBooks/TeachingsofLight.png" TargetMode="External"/><Relationship Id="rId715" Type="http://schemas.openxmlformats.org/officeDocument/2006/relationships/hyperlink" Target="https://raw.githubusercontent.com/ItsCryp7iC/Genshin-Image-Hosting/main/TalentBooks/GuidetoOrder.png" TargetMode="External"/><Relationship Id="rId922" Type="http://schemas.openxmlformats.org/officeDocument/2006/relationships/image" Target="../media/image458.png"/><Relationship Id="rId147" Type="http://schemas.openxmlformats.org/officeDocument/2006/relationships/hyperlink" Target="https://raw.githubusercontent.com/ItsCryp7iC/Genshin-Image-Hosting/main/TalentBooks/TeachingsofResistance.png" TargetMode="External"/><Relationship Id="rId354" Type="http://schemas.openxmlformats.org/officeDocument/2006/relationships/image" Target="../media/image177.png"/><Relationship Id="rId799" Type="http://schemas.openxmlformats.org/officeDocument/2006/relationships/hyperlink" Target="https://raw.githubusercontent.com/ItsCryp7iC/Genshin-Image-Hosting/main/Characters/Noelle.png" TargetMode="External"/><Relationship Id="rId51" Type="http://schemas.openxmlformats.org/officeDocument/2006/relationships/hyperlink" Target="https://raw.githubusercontent.com/ItsCryp7iC/Genshin-Image-Hosting/main/WorldBoss/PseudoStamens.png" TargetMode="External"/><Relationship Id="rId561" Type="http://schemas.openxmlformats.org/officeDocument/2006/relationships/hyperlink" Target="https://raw.githubusercontent.com/ItsCryp7iC/Genshin-Image-Hosting/main/Gems/ShivadaJadeFragment.png" TargetMode="External"/><Relationship Id="rId659" Type="http://schemas.openxmlformats.org/officeDocument/2006/relationships/hyperlink" Target="https://raw.githubusercontent.com/ItsCryp7iC/Genshin-Image-Hosting/main/TalentBooks/GuidetoPraxis.png" TargetMode="External"/><Relationship Id="rId866" Type="http://schemas.openxmlformats.org/officeDocument/2006/relationships/image" Target="../media/image430.png"/><Relationship Id="rId214" Type="http://schemas.openxmlformats.org/officeDocument/2006/relationships/image" Target="../media/image107.png"/><Relationship Id="rId298" Type="http://schemas.openxmlformats.org/officeDocument/2006/relationships/image" Target="../media/image149.png"/><Relationship Id="rId421" Type="http://schemas.openxmlformats.org/officeDocument/2006/relationships/hyperlink" Target="https://raw.githubusercontent.com/ItsCryp7iC/Genshin-Image-Hosting/main/Gems/NagadusEmeraldChunk.png" TargetMode="External"/><Relationship Id="rId519" Type="http://schemas.openxmlformats.org/officeDocument/2006/relationships/hyperlink" Target="https://raw.githubusercontent.com/ItsCryp7iC/Genshin-Image-Hosting/main/TalentBooks/GuidetoLight.png" TargetMode="External"/><Relationship Id="rId1051" Type="http://schemas.openxmlformats.org/officeDocument/2006/relationships/hyperlink" Target="https://raw.githubusercontent.com/ItsCryp7iC/Genshin-Image-Hosting/main/Weapons/StaffoftheScarletSands.png" TargetMode="External"/><Relationship Id="rId158" Type="http://schemas.openxmlformats.org/officeDocument/2006/relationships/image" Target="../media/image79.png"/><Relationship Id="rId726" Type="http://schemas.openxmlformats.org/officeDocument/2006/relationships/image" Target="../media/image360.png"/><Relationship Id="rId933" Type="http://schemas.openxmlformats.org/officeDocument/2006/relationships/hyperlink" Target="https://raw.githubusercontent.com/ItsCryp7iC/Genshin-Image-Hosting/main/Characters/Thoma.png" TargetMode="External"/><Relationship Id="rId1009" Type="http://schemas.openxmlformats.org/officeDocument/2006/relationships/hyperlink" Target="https://raw.githubusercontent.com/ItsCryp7iC/Genshin-Image-Hosting/main/Weapons/SacrificialGreatsword.png" TargetMode="External"/><Relationship Id="rId62" Type="http://schemas.openxmlformats.org/officeDocument/2006/relationships/image" Target="../media/image31.png"/><Relationship Id="rId365" Type="http://schemas.openxmlformats.org/officeDocument/2006/relationships/hyperlink" Target="https://raw.githubusercontent.com/ItsCryp7iC/Genshin-Image-Hosting/main/WorldBoss/EvergloomRing.png" TargetMode="External"/><Relationship Id="rId572" Type="http://schemas.openxmlformats.org/officeDocument/2006/relationships/image" Target="../media/image283.png"/><Relationship Id="rId225" Type="http://schemas.openxmlformats.org/officeDocument/2006/relationships/hyperlink" Target="https://raw.githubusercontent.com/ItsCryp7iC/Genshin-Image-Hosting/main/WeaponMaterials/BorealWolfsCrackedTooth.png" TargetMode="External"/><Relationship Id="rId432" Type="http://schemas.openxmlformats.org/officeDocument/2006/relationships/image" Target="../media/image216.png"/><Relationship Id="rId877" Type="http://schemas.openxmlformats.org/officeDocument/2006/relationships/hyperlink" Target="https://raw.githubusercontent.com/ItsCryp7iC/Genshin-Image-Hosting/main/Characters/Sucrose.png" TargetMode="External"/><Relationship Id="rId1062" Type="http://schemas.openxmlformats.org/officeDocument/2006/relationships/image" Target="../media/image528.png"/><Relationship Id="rId737" Type="http://schemas.openxmlformats.org/officeDocument/2006/relationships/hyperlink" Target="https://raw.githubusercontent.com/ItsCryp7iC/Genshin-Image-Hosting/main/Characters/Beidou.png" TargetMode="External"/><Relationship Id="rId944" Type="http://schemas.openxmlformats.org/officeDocument/2006/relationships/image" Target="../media/image469.png"/><Relationship Id="rId73" Type="http://schemas.openxmlformats.org/officeDocument/2006/relationships/hyperlink" Target="https://raw.githubusercontent.com/ItsCryp7iC/Genshin-Image-Hosting/main/TalentBooks/GuidetoBallad.png" TargetMode="External"/><Relationship Id="rId169" Type="http://schemas.openxmlformats.org/officeDocument/2006/relationships/hyperlink" Target="https://raw.githubusercontent.com/ItsCryp7iC/Genshin-Image-Hosting/main/LocalSpecialties/Lumitoile.png" TargetMode="External"/><Relationship Id="rId376" Type="http://schemas.openxmlformats.org/officeDocument/2006/relationships/image" Target="../media/image188.png"/><Relationship Id="rId583" Type="http://schemas.openxmlformats.org/officeDocument/2006/relationships/hyperlink" Target="https://raw.githubusercontent.com/ItsCryp7iC/Genshin-Image-Hosting/main/WeeklyBoss/SilkenFeather.png" TargetMode="External"/><Relationship Id="rId790" Type="http://schemas.openxmlformats.org/officeDocument/2006/relationships/image" Target="../media/image392.png"/><Relationship Id="rId804" Type="http://schemas.openxmlformats.org/officeDocument/2006/relationships/image" Target="../media/image399.png"/><Relationship Id="rId4" Type="http://schemas.openxmlformats.org/officeDocument/2006/relationships/image" Target="../media/image2.png"/><Relationship Id="rId236" Type="http://schemas.openxmlformats.org/officeDocument/2006/relationships/image" Target="../media/image118.png"/><Relationship Id="rId443" Type="http://schemas.openxmlformats.org/officeDocument/2006/relationships/hyperlink" Target="https://raw.githubusercontent.com/ItsCryp7iC/Genshin-Image-Hosting/main/LocalSpecialties/Padisarah.png" TargetMode="External"/><Relationship Id="rId650" Type="http://schemas.openxmlformats.org/officeDocument/2006/relationships/image" Target="../media/image322.png"/><Relationship Id="rId888" Type="http://schemas.openxmlformats.org/officeDocument/2006/relationships/image" Target="../media/image441.png"/><Relationship Id="rId1073" Type="http://schemas.openxmlformats.org/officeDocument/2006/relationships/hyperlink" Target="https://raw.githubusercontent.com/ItsCryp7iC/Genshin-Image-Hosting/main/Weapons/TheFlute.png" TargetMode="External"/><Relationship Id="rId303" Type="http://schemas.openxmlformats.org/officeDocument/2006/relationships/hyperlink" Target="https://raw.githubusercontent.com/ItsCryp7iC/Genshin-Image-Hosting/main/WeeklyBoss/BloodjadeBranch.png" TargetMode="External"/><Relationship Id="rId748" Type="http://schemas.openxmlformats.org/officeDocument/2006/relationships/image" Target="../media/image371.png"/><Relationship Id="rId955" Type="http://schemas.openxmlformats.org/officeDocument/2006/relationships/hyperlink" Target="https://raw.githubusercontent.com/ItsCryp7iC/Genshin-Image-Hosting/main/Weapons/OathswornEye.png" TargetMode="External"/><Relationship Id="rId84" Type="http://schemas.openxmlformats.org/officeDocument/2006/relationships/image" Target="../media/image42.png"/><Relationship Id="rId387" Type="http://schemas.openxmlformats.org/officeDocument/2006/relationships/hyperlink" Target="https://raw.githubusercontent.com/ItsCryp7iC/Genshin-Image-Hosting/main/WeaponMaterials/LuminousSandsfromGuyun.png" TargetMode="External"/><Relationship Id="rId510" Type="http://schemas.openxmlformats.org/officeDocument/2006/relationships/hyperlink" Target="https://raw.githubusercontent.com/ItsCryp7iC/Genshin-Image-Hosting/main/LocalSpecialties/Onikabuto.png" TargetMode="External"/><Relationship Id="rId594" Type="http://schemas.openxmlformats.org/officeDocument/2006/relationships/image" Target="../media/image294.png"/><Relationship Id="rId608" Type="http://schemas.openxmlformats.org/officeDocument/2006/relationships/image" Target="../media/image301.png"/><Relationship Id="rId815" Type="http://schemas.openxmlformats.org/officeDocument/2006/relationships/hyperlink" Target="https://raw.githubusercontent.com/ItsCryp7iC/Genshin-Image-Hosting/main/WeaponMaterials/EssenceofPureSacredDewdrop.png" TargetMode="External"/><Relationship Id="rId247" Type="http://schemas.openxmlformats.org/officeDocument/2006/relationships/hyperlink" Target="https://raw.githubusercontent.com/ItsCryp7iC/Genshin-Image-Hosting/main/Misc/weapons.png" TargetMode="External"/><Relationship Id="rId899" Type="http://schemas.openxmlformats.org/officeDocument/2006/relationships/hyperlink" Target="https://raw.githubusercontent.com/ItsCryp7iC/Genshin-Image-Hosting/main/Weapons/LithicSpear.png" TargetMode="External"/><Relationship Id="rId1000" Type="http://schemas.openxmlformats.org/officeDocument/2006/relationships/image" Target="../media/image497.png"/><Relationship Id="rId1084" Type="http://schemas.openxmlformats.org/officeDocument/2006/relationships/image" Target="../media/image539.png"/><Relationship Id="rId107" Type="http://schemas.openxmlformats.org/officeDocument/2006/relationships/hyperlink" Target="https://raw.githubusercontent.com/ItsCryp7iC/Genshin-Image-Hosting/main/MonsterDrops/2Star/SealedScroll.png" TargetMode="External"/><Relationship Id="rId454" Type="http://schemas.openxmlformats.org/officeDocument/2006/relationships/image" Target="../media/image227.png"/><Relationship Id="rId661" Type="http://schemas.openxmlformats.org/officeDocument/2006/relationships/hyperlink" Target="https://raw.githubusercontent.com/ItsCryp7iC/Genshin-Image-Hosting/main/Weapons/ElegyfortheEnd.png" TargetMode="External"/><Relationship Id="rId759" Type="http://schemas.openxmlformats.org/officeDocument/2006/relationships/hyperlink" Target="https://raw.githubusercontent.com/ItsCryp7iC/Genshin-Image-Hosting/main/Weapons/FerrousShadow.png" TargetMode="External"/><Relationship Id="rId966" Type="http://schemas.openxmlformats.org/officeDocument/2006/relationships/image" Target="../media/image480.png"/><Relationship Id="rId11" Type="http://schemas.openxmlformats.org/officeDocument/2006/relationships/hyperlink" Target="https://raw.githubusercontent.com/ItsCryp7iC/Genshin-Image-Hosting/main/WeeklyBoss/TuskofMonocerosCaeli.png" TargetMode="External"/><Relationship Id="rId314" Type="http://schemas.openxmlformats.org/officeDocument/2006/relationships/image" Target="../media/image157.png"/><Relationship Id="rId398" Type="http://schemas.openxmlformats.org/officeDocument/2006/relationships/image" Target="../media/image199.png"/><Relationship Id="rId521" Type="http://schemas.openxmlformats.org/officeDocument/2006/relationships/hyperlink" Target="https://raw.githubusercontent.com/ItsCryp7iC/Genshin-Image-Hosting/main/Gems/VayudaTurquoiseChunk.png" TargetMode="External"/><Relationship Id="rId619" Type="http://schemas.openxmlformats.org/officeDocument/2006/relationships/hyperlink" Target="https://raw.githubusercontent.com/ItsCryp7iC/Genshin-Image-Hosting/main/TalentBooks/PhilosophiesofAdmonition.png" TargetMode="External"/><Relationship Id="rId95" Type="http://schemas.openxmlformats.org/officeDocument/2006/relationships/hyperlink" Target="https://raw.githubusercontent.com/ItsCryp7iC/Genshin-Image-Hosting/main/TalentBooks/PhilosophiesofResistance.png" TargetMode="External"/><Relationship Id="rId160" Type="http://schemas.openxmlformats.org/officeDocument/2006/relationships/image" Target="../media/image80.png"/><Relationship Id="rId826" Type="http://schemas.openxmlformats.org/officeDocument/2006/relationships/image" Target="../media/image410.png"/><Relationship Id="rId1011" Type="http://schemas.openxmlformats.org/officeDocument/2006/relationships/hyperlink" Target="https://raw.githubusercontent.com/ItsCryp7iC/Genshin-Image-Hosting/main/Weapons/SacrificialJade.png" TargetMode="External"/><Relationship Id="rId1109" Type="http://schemas.openxmlformats.org/officeDocument/2006/relationships/hyperlink" Target="https://raw.githubusercontent.com/ItsCryp7iC/Genshin-Image-Hosting/main/Weapons/WavebreakersFin.png" TargetMode="External"/><Relationship Id="rId258" Type="http://schemas.openxmlformats.org/officeDocument/2006/relationships/image" Target="../media/image129.png"/><Relationship Id="rId465" Type="http://schemas.openxmlformats.org/officeDocument/2006/relationships/hyperlink" Target="https://raw.githubusercontent.com/ItsCryp7iC/Genshin-Image-Hosting/main/Gems/VajradaAmethystFragment.png" TargetMode="External"/><Relationship Id="rId672" Type="http://schemas.openxmlformats.org/officeDocument/2006/relationships/image" Target="../media/image333.png"/><Relationship Id="rId1095" Type="http://schemas.openxmlformats.org/officeDocument/2006/relationships/hyperlink" Target="https://raw.githubusercontent.com/ItsCryp7iC/Genshin-Image-Hosting/main/Weapons/TulaytullahsRemembrance.png" TargetMode="External"/><Relationship Id="rId22" Type="http://schemas.openxmlformats.org/officeDocument/2006/relationships/image" Target="../media/image11.png"/><Relationship Id="rId118" Type="http://schemas.openxmlformats.org/officeDocument/2006/relationships/image" Target="../media/image59.png"/><Relationship Id="rId325" Type="http://schemas.openxmlformats.org/officeDocument/2006/relationships/hyperlink" Target="https://raw.githubusercontent.com/ItsCryp7iC/Genshin-Image-Hosting/main/WeaponMaterials/ChainsoftheDandelionGladiator.png" TargetMode="External"/><Relationship Id="rId532" Type="http://schemas.openxmlformats.org/officeDocument/2006/relationships/hyperlink" Target="https://raw.githubusercontent.com/ItsCryp7iC/Genshin-Image-Hosting/main/Weapons/CoolSteel.png" TargetMode="External"/><Relationship Id="rId977" Type="http://schemas.openxmlformats.org/officeDocument/2006/relationships/hyperlink" Target="https://raw.githubusercontent.com/ItsCryp7iC/Genshin-Image-Hosting/main/Weapons/PrototypeRancour.png" TargetMode="External"/><Relationship Id="rId171" Type="http://schemas.openxmlformats.org/officeDocument/2006/relationships/hyperlink" Target="https://raw.githubusercontent.com/ItsCryp7iC/Genshin-Image-Hosting/main/Gems/VajradaAmethystGemstone.png" TargetMode="External"/><Relationship Id="rId837" Type="http://schemas.openxmlformats.org/officeDocument/2006/relationships/hyperlink" Target="https://raw.githubusercontent.com/ItsCryp7iC/Genshin-Image-Hosting/main/Weapons/HaranGeppakuFutsu.png" TargetMode="External"/><Relationship Id="rId1022" Type="http://schemas.openxmlformats.org/officeDocument/2006/relationships/image" Target="../media/image508.png"/><Relationship Id="rId269" Type="http://schemas.openxmlformats.org/officeDocument/2006/relationships/hyperlink" Target="https://raw.githubusercontent.com/ItsCryp7iC/Genshin-Image-Hosting/main/MonsterDrops/3Star/FamedHandguard.png" TargetMode="External"/><Relationship Id="rId476" Type="http://schemas.openxmlformats.org/officeDocument/2006/relationships/image" Target="../media/image238.png"/><Relationship Id="rId683" Type="http://schemas.openxmlformats.org/officeDocument/2006/relationships/hyperlink" Target="https://raw.githubusercontent.com/ItsCryp7iC/Genshin-Image-Hosting/main/Weapons/EndoftheLine.png" TargetMode="External"/><Relationship Id="rId890" Type="http://schemas.openxmlformats.org/officeDocument/2006/relationships/image" Target="../media/image442.png"/><Relationship Id="rId904" Type="http://schemas.openxmlformats.org/officeDocument/2006/relationships/image" Target="../media/image449.png"/><Relationship Id="rId33" Type="http://schemas.openxmlformats.org/officeDocument/2006/relationships/hyperlink" Target="https://raw.githubusercontent.com/ItsCryp7iC/Genshin-Image-Hosting/main/LocalSpecialties/AmakumoFruit.png" TargetMode="External"/><Relationship Id="rId129" Type="http://schemas.openxmlformats.org/officeDocument/2006/relationships/hyperlink" Target="https://raw.githubusercontent.com/ItsCryp7iC/Genshin-Image-Hosting/main/WorldBoss/ArtificedSpareClockworkComponentCoppelia.png" TargetMode="External"/><Relationship Id="rId336" Type="http://schemas.openxmlformats.org/officeDocument/2006/relationships/image" Target="../media/image168.png"/><Relationship Id="rId543" Type="http://schemas.openxmlformats.org/officeDocument/2006/relationships/hyperlink" Target="https://raw.githubusercontent.com/ItsCryp7iC/Genshin-Image-Hosting/main/Gems/ShivadaJadeSilver.png" TargetMode="External"/><Relationship Id="rId988" Type="http://schemas.openxmlformats.org/officeDocument/2006/relationships/image" Target="../media/image491.png"/><Relationship Id="rId182" Type="http://schemas.openxmlformats.org/officeDocument/2006/relationships/image" Target="../media/image91.png"/><Relationship Id="rId403" Type="http://schemas.openxmlformats.org/officeDocument/2006/relationships/hyperlink" Target="https://raw.githubusercontent.com/ItsCryp7iC/Genshin-Image-Hosting/main/LocalSpecialties/KalpalataLotus.png" TargetMode="External"/><Relationship Id="rId750" Type="http://schemas.openxmlformats.org/officeDocument/2006/relationships/image" Target="../media/image372.png"/><Relationship Id="rId848" Type="http://schemas.openxmlformats.org/officeDocument/2006/relationships/image" Target="../media/image421.png"/><Relationship Id="rId1033" Type="http://schemas.openxmlformats.org/officeDocument/2006/relationships/hyperlink" Target="https://raw.githubusercontent.com/ItsCryp7iC/Genshin-Image-Hosting/main/Weapons/SkywardPride.png" TargetMode="External"/><Relationship Id="rId487" Type="http://schemas.openxmlformats.org/officeDocument/2006/relationships/image" Target="../media/image243.png"/><Relationship Id="rId610" Type="http://schemas.openxmlformats.org/officeDocument/2006/relationships/image" Target="../media/image302.png"/><Relationship Id="rId694" Type="http://schemas.openxmlformats.org/officeDocument/2006/relationships/image" Target="../media/image344.png"/><Relationship Id="rId708" Type="http://schemas.openxmlformats.org/officeDocument/2006/relationships/image" Target="../media/image351.png"/><Relationship Id="rId915" Type="http://schemas.openxmlformats.org/officeDocument/2006/relationships/hyperlink" Target="https://raw.githubusercontent.com/ItsCryp7iC/Genshin-Image-Hosting/main/Weapons/MailedFlower.png" TargetMode="External"/><Relationship Id="rId347" Type="http://schemas.openxmlformats.org/officeDocument/2006/relationships/hyperlink" Target="https://raw.githubusercontent.com/ItsCryp7iC/Genshin-Image-Hosting/main/WeaponMaterials/ShacklesoftheDandelionGladiator.png" TargetMode="External"/><Relationship Id="rId999" Type="http://schemas.openxmlformats.org/officeDocument/2006/relationships/hyperlink" Target="https://raw.githubusercontent.com/ItsCryp7iC/Genshin-Image-Hosting/main/Weapons/RoyalLongsword.png" TargetMode="External"/><Relationship Id="rId1100" Type="http://schemas.openxmlformats.org/officeDocument/2006/relationships/image" Target="../media/image547.png"/><Relationship Id="rId44" Type="http://schemas.openxmlformats.org/officeDocument/2006/relationships/image" Target="../media/image22.png"/><Relationship Id="rId554" Type="http://schemas.openxmlformats.org/officeDocument/2006/relationships/image" Target="../media/image274.png"/><Relationship Id="rId761" Type="http://schemas.openxmlformats.org/officeDocument/2006/relationships/hyperlink" Target="https://raw.githubusercontent.com/ItsCryp7iC/Genshin-Image-Hosting/main/WeaponMaterials/DreamofScorchingMight.png" TargetMode="External"/><Relationship Id="rId859" Type="http://schemas.openxmlformats.org/officeDocument/2006/relationships/hyperlink" Target="https://raw.githubusercontent.com/ItsCryp7iC/Genshin-Image-Hosting/main/Weapons/JadefallsSplendor.png" TargetMode="External"/><Relationship Id="rId193" Type="http://schemas.openxmlformats.org/officeDocument/2006/relationships/hyperlink" Target="https://raw.githubusercontent.com/ItsCryp7iC/Genshin-Image-Hosting/main/Weapons/AmosBow.png" TargetMode="External"/><Relationship Id="rId207" Type="http://schemas.openxmlformats.org/officeDocument/2006/relationships/hyperlink" Target="https://raw.githubusercontent.com/ItsCryp7iC/Genshin-Image-Hosting/main/Gems/VarunadaLazuriteGemstone.png" TargetMode="External"/><Relationship Id="rId414" Type="http://schemas.openxmlformats.org/officeDocument/2006/relationships/image" Target="../media/image207.png"/><Relationship Id="rId498" Type="http://schemas.openxmlformats.org/officeDocument/2006/relationships/image" Target="../media/image248.png"/><Relationship Id="rId621" Type="http://schemas.openxmlformats.org/officeDocument/2006/relationships/hyperlink" Target="https://raw.githubusercontent.com/ItsCryp7iC/Genshin-Image-Hosting/main/WorldBoss/FragmentofaGoldenMelody.png" TargetMode="External"/><Relationship Id="rId1044" Type="http://schemas.openxmlformats.org/officeDocument/2006/relationships/image" Target="../media/image519.png"/><Relationship Id="rId260" Type="http://schemas.openxmlformats.org/officeDocument/2006/relationships/image" Target="../media/image130.png"/><Relationship Id="rId719" Type="http://schemas.openxmlformats.org/officeDocument/2006/relationships/hyperlink" Target="https://raw.githubusercontent.com/ItsCryp7iC/Genshin-Image-Hosting/main/WeaponMaterials/OasisGardensReminiscence.png" TargetMode="External"/><Relationship Id="rId926" Type="http://schemas.openxmlformats.org/officeDocument/2006/relationships/image" Target="../media/image460.png"/><Relationship Id="rId1111" Type="http://schemas.openxmlformats.org/officeDocument/2006/relationships/hyperlink" Target="https://raw.githubusercontent.com/ItsCryp7iC/Genshin-Image-Hosting/main/Weapons/Whiteblind.png" TargetMode="External"/><Relationship Id="rId55" Type="http://schemas.openxmlformats.org/officeDocument/2006/relationships/hyperlink" Target="https://raw.githubusercontent.com/ItsCryp7iC/Genshin-Image-Hosting/main/TalentBooks/PhilosophiesofIngenuity.png" TargetMode="External"/><Relationship Id="rId120" Type="http://schemas.openxmlformats.org/officeDocument/2006/relationships/image" Target="../media/image60.png"/><Relationship Id="rId358" Type="http://schemas.openxmlformats.org/officeDocument/2006/relationships/image" Target="../media/image179.png"/><Relationship Id="rId565" Type="http://schemas.openxmlformats.org/officeDocument/2006/relationships/hyperlink" Target="https://raw.githubusercontent.com/ItsCryp7iC/Genshin-Image-Hosting/main/WeaponMaterials/JeweledBranchofaDistantSea.png" TargetMode="External"/><Relationship Id="rId772" Type="http://schemas.openxmlformats.org/officeDocument/2006/relationships/image" Target="../media/image383.png"/><Relationship Id="rId218" Type="http://schemas.openxmlformats.org/officeDocument/2006/relationships/image" Target="../media/image109.png"/><Relationship Id="rId425" Type="http://schemas.openxmlformats.org/officeDocument/2006/relationships/hyperlink" Target="https://raw.githubusercontent.com/ItsCryp7iC/Genshin-Image-Hosting/main/WeaponMaterials/RelicfromGuyun.png" TargetMode="External"/><Relationship Id="rId632" Type="http://schemas.openxmlformats.org/officeDocument/2006/relationships/image" Target="../media/image313.png"/><Relationship Id="rId1055" Type="http://schemas.openxmlformats.org/officeDocument/2006/relationships/hyperlink" Target="https://raw.githubusercontent.com/ItsCryp7iC/Genshin-Image-Hosting/main/Weapons/SwordofDescension.png" TargetMode="External"/><Relationship Id="rId271" Type="http://schemas.openxmlformats.org/officeDocument/2006/relationships/hyperlink" Target="https://raw.githubusercontent.com/ItsCryp7iC/Genshin-Image-Hosting/main/MonsterDrops/2Star/KageuchiHandguard.png" TargetMode="External"/><Relationship Id="rId937" Type="http://schemas.openxmlformats.org/officeDocument/2006/relationships/hyperlink" Target="https://raw.githubusercontent.com/ItsCryp7iC/Genshin-Image-Hosting/main/Characters/Xiangling.png" TargetMode="External"/><Relationship Id="rId1122" Type="http://schemas.openxmlformats.org/officeDocument/2006/relationships/image" Target="../media/image558.png"/><Relationship Id="rId66" Type="http://schemas.openxmlformats.org/officeDocument/2006/relationships/image" Target="../media/image33.png"/><Relationship Id="rId131" Type="http://schemas.openxmlformats.org/officeDocument/2006/relationships/hyperlink" Target="https://raw.githubusercontent.com/ItsCryp7iC/Genshin-Image-Hosting/main/WeeklyBoss/LightlessSilkString.png" TargetMode="External"/><Relationship Id="rId369" Type="http://schemas.openxmlformats.org/officeDocument/2006/relationships/hyperlink" Target="https://raw.githubusercontent.com/ItsCryp7iC/Genshin-Image-Hosting/main/WorldBoss/StormBeads.png" TargetMode="External"/><Relationship Id="rId576" Type="http://schemas.openxmlformats.org/officeDocument/2006/relationships/image" Target="../media/image285.png"/><Relationship Id="rId783" Type="http://schemas.openxmlformats.org/officeDocument/2006/relationships/hyperlink" Target="https://raw.githubusercontent.com/ItsCryp7iC/Genshin-Image-Hosting/main/Weapons/FleuveCendreFerryman.png" TargetMode="External"/><Relationship Id="rId990" Type="http://schemas.openxmlformats.org/officeDocument/2006/relationships/image" Target="../media/image492.png"/><Relationship Id="rId229" Type="http://schemas.openxmlformats.org/officeDocument/2006/relationships/hyperlink" Target="https://raw.githubusercontent.com/ItsCryp7iC/Genshin-Image-Hosting/main/LocalSpecialties/DandelionSeed.png" TargetMode="External"/><Relationship Id="rId436" Type="http://schemas.openxmlformats.org/officeDocument/2006/relationships/image" Target="../media/image218.png"/><Relationship Id="rId643" Type="http://schemas.openxmlformats.org/officeDocument/2006/relationships/hyperlink" Target="https://raw.githubusercontent.com/ItsCryp7iC/Genshin-Image-Hosting/main/Characters/Ganyu.png" TargetMode="External"/><Relationship Id="rId1066" Type="http://schemas.openxmlformats.org/officeDocument/2006/relationships/image" Target="../media/image530.png"/><Relationship Id="rId850" Type="http://schemas.openxmlformats.org/officeDocument/2006/relationships/image" Target="../media/image422.png"/><Relationship Id="rId948" Type="http://schemas.openxmlformats.org/officeDocument/2006/relationships/image" Target="../media/image471.png"/><Relationship Id="rId77" Type="http://schemas.openxmlformats.org/officeDocument/2006/relationships/hyperlink" Target="https://raw.githubusercontent.com/ItsCryp7iC/Genshin-Image-Hosting/main/Gems/BrilliantDiamondFragment.png" TargetMode="External"/><Relationship Id="rId282" Type="http://schemas.openxmlformats.org/officeDocument/2006/relationships/image" Target="../media/image141.png"/><Relationship Id="rId503" Type="http://schemas.openxmlformats.org/officeDocument/2006/relationships/hyperlink" Target="https://raw.githubusercontent.com/ItsCryp7iC/Genshin-Image-Hosting/main/WeaponMaterials/GrainofAerosiderite.png" TargetMode="External"/><Relationship Id="rId587" Type="http://schemas.openxmlformats.org/officeDocument/2006/relationships/hyperlink" Target="https://raw.githubusercontent.com/ItsCryp7iC/Genshin-Image-Hosting/main/LocalSpecialties/RukkhashavaMushrooms.png" TargetMode="External"/><Relationship Id="rId710" Type="http://schemas.openxmlformats.org/officeDocument/2006/relationships/image" Target="../media/image352.png"/><Relationship Id="rId808" Type="http://schemas.openxmlformats.org/officeDocument/2006/relationships/image" Target="../media/image401.png"/><Relationship Id="rId8" Type="http://schemas.openxmlformats.org/officeDocument/2006/relationships/image" Target="../media/image4.png"/><Relationship Id="rId142" Type="http://schemas.openxmlformats.org/officeDocument/2006/relationships/image" Target="../media/image71.png"/><Relationship Id="rId447" Type="http://schemas.openxmlformats.org/officeDocument/2006/relationships/hyperlink" Target="https://raw.githubusercontent.com/ItsCryp7iC/Genshin-Image-Hosting/main/WeeklyBoss/TheMeaningofAeons.png" TargetMode="External"/><Relationship Id="rId794" Type="http://schemas.openxmlformats.org/officeDocument/2006/relationships/image" Target="../media/image394.png"/><Relationship Id="rId1077" Type="http://schemas.openxmlformats.org/officeDocument/2006/relationships/hyperlink" Target="https://raw.githubusercontent.com/ItsCryp7iC/Genshin-Image-Hosting/main/Weapons/TheUnforged.png" TargetMode="External"/><Relationship Id="rId654" Type="http://schemas.openxmlformats.org/officeDocument/2006/relationships/image" Target="../media/image324.png"/><Relationship Id="rId861" Type="http://schemas.openxmlformats.org/officeDocument/2006/relationships/hyperlink" Target="https://raw.githubusercontent.com/ItsCryp7iC/Genshin-Image-Hosting/main/Characters/Neuvillette.png" TargetMode="External"/><Relationship Id="rId959" Type="http://schemas.openxmlformats.org/officeDocument/2006/relationships/hyperlink" Target="https://raw.githubusercontent.com/ItsCryp7iC/Genshin-Image-Hosting/main/Weapons/PolarStar.png" TargetMode="External"/><Relationship Id="rId293" Type="http://schemas.openxmlformats.org/officeDocument/2006/relationships/hyperlink" Target="https://raw.githubusercontent.com/ItsCryp7iC/Genshin-Image-Hosting/main/Gems/VarunadaLazuriteSilver.png" TargetMode="External"/><Relationship Id="rId307" Type="http://schemas.openxmlformats.org/officeDocument/2006/relationships/hyperlink" Target="https://raw.githubusercontent.com/ItsCryp7iC/Genshin-Image-Hosting/main/LocalSpecialties/SakuraBloom.png" TargetMode="External"/><Relationship Id="rId514" Type="http://schemas.openxmlformats.org/officeDocument/2006/relationships/hyperlink" Target="https://raw.githubusercontent.com/ItsCryp7iC/Genshin-Image-Hosting/main/Weapons/Cloudforged.png" TargetMode="External"/><Relationship Id="rId721" Type="http://schemas.openxmlformats.org/officeDocument/2006/relationships/hyperlink" Target="https://raw.githubusercontent.com/ItsCryp7iC/Genshin-Image-Hosting/main/Characters/Yoimiya.png" TargetMode="External"/><Relationship Id="rId88" Type="http://schemas.openxmlformats.org/officeDocument/2006/relationships/image" Target="../media/image44.png"/><Relationship Id="rId153" Type="http://schemas.openxmlformats.org/officeDocument/2006/relationships/hyperlink" Target="https://raw.githubusercontent.com/ItsCryp7iC/Genshin-Image-Hosting/main/Billets/bow.png" TargetMode="External"/><Relationship Id="rId360" Type="http://schemas.openxmlformats.org/officeDocument/2006/relationships/image" Target="../media/image180.png"/><Relationship Id="rId598" Type="http://schemas.openxmlformats.org/officeDocument/2006/relationships/image" Target="../media/image296.png"/><Relationship Id="rId819" Type="http://schemas.openxmlformats.org/officeDocument/2006/relationships/hyperlink" Target="https://raw.githubusercontent.com/ItsCryp7iC/Genshin-Image-Hosting/main/Weapons/HakushinRing.png" TargetMode="External"/><Relationship Id="rId1004" Type="http://schemas.openxmlformats.org/officeDocument/2006/relationships/image" Target="../media/image499.png"/><Relationship Id="rId220" Type="http://schemas.openxmlformats.org/officeDocument/2006/relationships/image" Target="../media/image110.png"/><Relationship Id="rId458" Type="http://schemas.openxmlformats.org/officeDocument/2006/relationships/image" Target="../media/image229.png"/><Relationship Id="rId665" Type="http://schemas.openxmlformats.org/officeDocument/2006/relationships/hyperlink" Target="https://raw.githubusercontent.com/ItsCryp7iC/Genshin-Image-Hosting/main/Characters/Lyney.png" TargetMode="External"/><Relationship Id="rId872" Type="http://schemas.openxmlformats.org/officeDocument/2006/relationships/image" Target="../media/image433.png"/><Relationship Id="rId1088" Type="http://schemas.openxmlformats.org/officeDocument/2006/relationships/image" Target="../media/image541.png"/><Relationship Id="rId15" Type="http://schemas.openxmlformats.org/officeDocument/2006/relationships/hyperlink" Target="https://raw.githubusercontent.com/ItsCryp7iC/Genshin-Image-Hosting/main/MonsterDrops/3Star/ForbiddenCurseScroll.png" TargetMode="External"/><Relationship Id="rId318" Type="http://schemas.openxmlformats.org/officeDocument/2006/relationships/image" Target="../media/image159.png"/><Relationship Id="rId525" Type="http://schemas.openxmlformats.org/officeDocument/2006/relationships/hyperlink" Target="https://raw.githubusercontent.com/ItsCryp7iC/Genshin-Image-Hosting/main/WeaponMaterials/BitofAerosiderite.png" TargetMode="External"/><Relationship Id="rId732" Type="http://schemas.openxmlformats.org/officeDocument/2006/relationships/image" Target="../media/image363.png"/><Relationship Id="rId99" Type="http://schemas.openxmlformats.org/officeDocument/2006/relationships/hyperlink" Target="https://raw.githubusercontent.com/ItsCryp7iC/Genshin-Image-Hosting/main/LocalSpecialties/WindwheelAster.png" TargetMode="External"/><Relationship Id="rId164" Type="http://schemas.openxmlformats.org/officeDocument/2006/relationships/image" Target="../media/image82.png"/><Relationship Id="rId371" Type="http://schemas.openxmlformats.org/officeDocument/2006/relationships/hyperlink" Target="https://raw.githubusercontent.com/ItsCryp7iC/Genshin-Image-Hosting/main/WeeklyBoss/HellfireButterfly.png" TargetMode="External"/><Relationship Id="rId1015" Type="http://schemas.openxmlformats.org/officeDocument/2006/relationships/hyperlink" Target="https://raw.githubusercontent.com/ItsCryp7iC/Genshin-Image-Hosting/main/Weapons/SapwoodBlade.png" TargetMode="External"/><Relationship Id="rId469" Type="http://schemas.openxmlformats.org/officeDocument/2006/relationships/hyperlink" Target="https://raw.githubusercontent.com/ItsCryp7iC/Genshin-Image-Hosting/main/WeaponMaterials/MistVeiledMercuryElixir.png" TargetMode="External"/><Relationship Id="rId676" Type="http://schemas.openxmlformats.org/officeDocument/2006/relationships/image" Target="../media/image335.png"/><Relationship Id="rId883" Type="http://schemas.openxmlformats.org/officeDocument/2006/relationships/hyperlink" Target="https://raw.githubusercontent.com/ItsCryp7iC/Genshin-Image-Hosting/main/Weapons/KitainCrossSpear.png" TargetMode="External"/><Relationship Id="rId1099" Type="http://schemas.openxmlformats.org/officeDocument/2006/relationships/hyperlink" Target="https://raw.githubusercontent.com/ItsCryp7iC/Genshin-Image-Hosting/main/Weapons/UltimateOverlordsMegaMagicSword.png" TargetMode="External"/><Relationship Id="rId26" Type="http://schemas.openxmlformats.org/officeDocument/2006/relationships/image" Target="../media/image13.png"/><Relationship Id="rId231" Type="http://schemas.openxmlformats.org/officeDocument/2006/relationships/hyperlink" Target="https://raw.githubusercontent.com/ItsCryp7iC/Genshin-Image-Hosting/main/Gems/VayudaTurquoiseGemstone.png" TargetMode="External"/><Relationship Id="rId329" Type="http://schemas.openxmlformats.org/officeDocument/2006/relationships/hyperlink" Target="https://raw.githubusercontent.com/ItsCryp7iC/Genshin-Image-Hosting/main/WorldBoss/DewofRepudiation.png" TargetMode="External"/><Relationship Id="rId536" Type="http://schemas.openxmlformats.org/officeDocument/2006/relationships/hyperlink" Target="https://raw.githubusercontent.com/ItsCryp7iC/Genshin-Image-Hosting/main/Characters/TravelerCryo.png" TargetMode="External"/><Relationship Id="rId175" Type="http://schemas.openxmlformats.org/officeDocument/2006/relationships/hyperlink" Target="https://raw.githubusercontent.com/ItsCryp7iC/Genshin-Image-Hosting/main/WeeklyBoss/SpiritLocketofBoreas.png" TargetMode="External"/><Relationship Id="rId743" Type="http://schemas.openxmlformats.org/officeDocument/2006/relationships/hyperlink" Target="https://raw.githubusercontent.com/ItsCryp7iC/Genshin-Image-Hosting/main/WeaponMaterials/OasisGardensTruth.png" TargetMode="External"/><Relationship Id="rId950" Type="http://schemas.openxmlformats.org/officeDocument/2006/relationships/image" Target="../media/image472.png"/><Relationship Id="rId1026" Type="http://schemas.openxmlformats.org/officeDocument/2006/relationships/image" Target="../media/image510.png"/><Relationship Id="rId382" Type="http://schemas.openxmlformats.org/officeDocument/2006/relationships/image" Target="../media/image191.png"/><Relationship Id="rId603" Type="http://schemas.openxmlformats.org/officeDocument/2006/relationships/hyperlink" Target="https://raw.githubusercontent.com/ItsCryp7iC/Genshin-Image-Hosting/main/WeaponMaterials/NarukamisWisdom.png" TargetMode="External"/><Relationship Id="rId687" Type="http://schemas.openxmlformats.org/officeDocument/2006/relationships/hyperlink" Target="https://raw.githubusercontent.com/ItsCryp7iC/Genshin-Image-Hosting/main/Characters/Tartaglia.png" TargetMode="External"/><Relationship Id="rId810" Type="http://schemas.openxmlformats.org/officeDocument/2006/relationships/image" Target="../media/image402.png"/><Relationship Id="rId908" Type="http://schemas.openxmlformats.org/officeDocument/2006/relationships/image" Target="../media/image451.png"/><Relationship Id="rId242" Type="http://schemas.openxmlformats.org/officeDocument/2006/relationships/image" Target="../media/image121.png"/><Relationship Id="rId894" Type="http://schemas.openxmlformats.org/officeDocument/2006/relationships/image" Target="../media/image444.png"/><Relationship Id="rId37" Type="http://schemas.openxmlformats.org/officeDocument/2006/relationships/hyperlink" Target="https://raw.githubusercontent.com/ItsCryp7iC/Genshin-Image-Hosting/main/Misc/Mora.png" TargetMode="External"/><Relationship Id="rId102" Type="http://schemas.openxmlformats.org/officeDocument/2006/relationships/image" Target="../media/image51.png"/><Relationship Id="rId547" Type="http://schemas.openxmlformats.org/officeDocument/2006/relationships/hyperlink" Target="https://raw.githubusercontent.com/ItsCryp7iC/Genshin-Image-Hosting/main/WeaponMaterials/CoralBranchofaDistantSea.png" TargetMode="External"/><Relationship Id="rId754" Type="http://schemas.openxmlformats.org/officeDocument/2006/relationships/image" Target="../media/image374.png"/><Relationship Id="rId961" Type="http://schemas.openxmlformats.org/officeDocument/2006/relationships/hyperlink" Target="https://raw.githubusercontent.com/ItsCryp7iC/Genshin-Image-Hosting/main/Weapons/PortablePowerSaw.png" TargetMode="External"/><Relationship Id="rId90" Type="http://schemas.openxmlformats.org/officeDocument/2006/relationships/image" Target="../media/image45.png"/><Relationship Id="rId186" Type="http://schemas.openxmlformats.org/officeDocument/2006/relationships/image" Target="../media/image93.png"/><Relationship Id="rId393" Type="http://schemas.openxmlformats.org/officeDocument/2006/relationships/hyperlink" Target="https://raw.githubusercontent.com/ItsCryp7iC/Genshin-Image-Hosting/main/WeeklyBoss/TearsoftheCalamitousGod.png" TargetMode="External"/><Relationship Id="rId407" Type="http://schemas.openxmlformats.org/officeDocument/2006/relationships/hyperlink" Target="https://raw.githubusercontent.com/ItsCryp7iC/Genshin-Image-Hosting/main/Weapons/BlackcliffPole.png" TargetMode="External"/><Relationship Id="rId614" Type="http://schemas.openxmlformats.org/officeDocument/2006/relationships/image" Target="../media/image304.png"/><Relationship Id="rId821" Type="http://schemas.openxmlformats.org/officeDocument/2006/relationships/hyperlink" Target="https://raw.githubusercontent.com/ItsCryp7iC/Genshin-Image-Hosting/main/WeaponMaterials/BrokenGobletofthePristineSea.png" TargetMode="External"/><Relationship Id="rId1037" Type="http://schemas.openxmlformats.org/officeDocument/2006/relationships/hyperlink" Target="https://raw.githubusercontent.com/ItsCryp7iC/Genshin-Image-Hosting/main/Weapons/Slingshot.png" TargetMode="External"/><Relationship Id="rId253" Type="http://schemas.openxmlformats.org/officeDocument/2006/relationships/hyperlink" Target="https://raw.githubusercontent.com/ItsCryp7iC/Genshin-Image-Hosting/main/WeaponMaterials/BorealWolfsBrokenFang.png" TargetMode="External"/><Relationship Id="rId460" Type="http://schemas.openxmlformats.org/officeDocument/2006/relationships/image" Target="../media/image230.png"/><Relationship Id="rId698" Type="http://schemas.openxmlformats.org/officeDocument/2006/relationships/image" Target="../media/image346.png"/><Relationship Id="rId919" Type="http://schemas.openxmlformats.org/officeDocument/2006/relationships/hyperlink" Target="https://raw.githubusercontent.com/ItsCryp7iC/Genshin-Image-Hosting/main/Weapons/MakhairaAquamarine.png" TargetMode="External"/><Relationship Id="rId1090" Type="http://schemas.openxmlformats.org/officeDocument/2006/relationships/image" Target="../media/image542.png"/><Relationship Id="rId1104" Type="http://schemas.openxmlformats.org/officeDocument/2006/relationships/image" Target="../media/image549.png"/><Relationship Id="rId48" Type="http://schemas.openxmlformats.org/officeDocument/2006/relationships/image" Target="../media/image24.png"/><Relationship Id="rId113" Type="http://schemas.openxmlformats.org/officeDocument/2006/relationships/hyperlink" Target="https://raw.githubusercontent.com/ItsCryp7iC/Genshin-Image-Hosting/main/Gems/BrilliantDiamondChunk.png" TargetMode="External"/><Relationship Id="rId320" Type="http://schemas.openxmlformats.org/officeDocument/2006/relationships/image" Target="../media/image160.png"/><Relationship Id="rId558" Type="http://schemas.openxmlformats.org/officeDocument/2006/relationships/image" Target="../media/image276.png"/><Relationship Id="rId765" Type="http://schemas.openxmlformats.org/officeDocument/2006/relationships/hyperlink" Target="https://raw.githubusercontent.com/ItsCryp7iC/Genshin-Image-Hosting/main/Weapons/FesteringDesire.png" TargetMode="External"/><Relationship Id="rId972" Type="http://schemas.openxmlformats.org/officeDocument/2006/relationships/image" Target="../media/image483.png"/><Relationship Id="rId197" Type="http://schemas.openxmlformats.org/officeDocument/2006/relationships/hyperlink" Target="https://raw.githubusercontent.com/ItsCryp7iC/Genshin-Image-Hosting/main/Characters/Furina.png" TargetMode="External"/><Relationship Id="rId418" Type="http://schemas.openxmlformats.org/officeDocument/2006/relationships/image" Target="../media/image209.png"/><Relationship Id="rId625" Type="http://schemas.openxmlformats.org/officeDocument/2006/relationships/hyperlink" Target="https://raw.githubusercontent.com/ItsCryp7iC/Genshin-Image-Hosting/main/LocalSpecialties/SangoPearl.png" TargetMode="External"/><Relationship Id="rId832" Type="http://schemas.openxmlformats.org/officeDocument/2006/relationships/image" Target="../media/image413.png"/><Relationship Id="rId1048" Type="http://schemas.openxmlformats.org/officeDocument/2006/relationships/image" Target="../media/image521.png"/><Relationship Id="rId264" Type="http://schemas.openxmlformats.org/officeDocument/2006/relationships/image" Target="../media/image132.png"/><Relationship Id="rId471" Type="http://schemas.openxmlformats.org/officeDocument/2006/relationships/hyperlink" Target="https://raw.githubusercontent.com/ItsCryp7iC/Genshin-Image-Hosting/main/Characters/TravelerAnemo.png" TargetMode="External"/><Relationship Id="rId1115" Type="http://schemas.openxmlformats.org/officeDocument/2006/relationships/hyperlink" Target="https://raw.githubusercontent.com/ItsCryp7iC/Genshin-Image-Hosting/main/Weapons/WhiteTassel.png" TargetMode="External"/><Relationship Id="rId59" Type="http://schemas.openxmlformats.org/officeDocument/2006/relationships/hyperlink" Target="https://raw.githubusercontent.com/ItsCryp7iC/Genshin-Image-Hosting/main/LocalSpecialties/SandGreasePupa.png" TargetMode="External"/><Relationship Id="rId124" Type="http://schemas.openxmlformats.org/officeDocument/2006/relationships/image" Target="../media/image62.png"/><Relationship Id="rId569" Type="http://schemas.openxmlformats.org/officeDocument/2006/relationships/hyperlink" Target="https://raw.githubusercontent.com/ItsCryp7iC/Genshin-Image-Hosting/main/WorldBoss/TourbillonDevice.png" TargetMode="External"/><Relationship Id="rId776" Type="http://schemas.openxmlformats.org/officeDocument/2006/relationships/image" Target="../media/image385.png"/><Relationship Id="rId983" Type="http://schemas.openxmlformats.org/officeDocument/2006/relationships/hyperlink" Target="https://raw.githubusercontent.com/ItsCryp7iC/Genshin-Image-Hosting/main/Weapons/RangeGauge.png" TargetMode="External"/><Relationship Id="rId331" Type="http://schemas.openxmlformats.org/officeDocument/2006/relationships/hyperlink" Target="https://raw.githubusercontent.com/ItsCryp7iC/Genshin-Image-Hosting/main/WeeklyBoss/MudraoftheMaleficGeneral.png" TargetMode="External"/><Relationship Id="rId429" Type="http://schemas.openxmlformats.org/officeDocument/2006/relationships/hyperlink" Target="https://raw.githubusercontent.com/ItsCryp7iC/Genshin-Image-Hosting/main/TalentBooks/PhilosophiesofOrder.png" TargetMode="External"/><Relationship Id="rId636" Type="http://schemas.openxmlformats.org/officeDocument/2006/relationships/image" Target="../media/image315.png"/><Relationship Id="rId1059" Type="http://schemas.openxmlformats.org/officeDocument/2006/relationships/hyperlink" Target="https://raw.githubusercontent.com/ItsCryp7iC/Genshin-Image-Hosting/main/Weapons/TalkingStick.png" TargetMode="External"/><Relationship Id="rId843" Type="http://schemas.openxmlformats.org/officeDocument/2006/relationships/hyperlink" Target="https://raw.githubusercontent.com/ItsCryp7iC/Genshin-Image-Hosting/main/Weapons/HarbingerofDawn.png" TargetMode="External"/><Relationship Id="rId1126" Type="http://schemas.openxmlformats.org/officeDocument/2006/relationships/image" Target="../media/image560.png"/><Relationship Id="rId275" Type="http://schemas.openxmlformats.org/officeDocument/2006/relationships/hyperlink" Target="https://raw.githubusercontent.com/ItsCryp7iC/Genshin-Image-Hosting/main/TalentBooks/GuidetoFreedom.png" TargetMode="External"/><Relationship Id="rId482" Type="http://schemas.openxmlformats.org/officeDocument/2006/relationships/image" Target="../media/image241.png"/><Relationship Id="rId703" Type="http://schemas.openxmlformats.org/officeDocument/2006/relationships/hyperlink" Target="https://raw.githubusercontent.com/ItsCryp7iC/Genshin-Image-Hosting/main/Characters/Venti.png" TargetMode="External"/><Relationship Id="rId910" Type="http://schemas.openxmlformats.org/officeDocument/2006/relationships/image" Target="../media/image452.png"/><Relationship Id="rId135" Type="http://schemas.openxmlformats.org/officeDocument/2006/relationships/hyperlink" Target="https://raw.githubusercontent.com/ItsCryp7iC/Genshin-Image-Hosting/main/MonsterDrops/3Star/SpectralNucleus.png" TargetMode="External"/><Relationship Id="rId342" Type="http://schemas.openxmlformats.org/officeDocument/2006/relationships/image" Target="../media/image171.png"/><Relationship Id="rId787" Type="http://schemas.openxmlformats.org/officeDocument/2006/relationships/hyperlink" Target="https://raw.githubusercontent.com/ItsCryp7iC/Genshin-Image-Hosting/main/Characters/Kaveh.png" TargetMode="External"/><Relationship Id="rId994" Type="http://schemas.openxmlformats.org/officeDocument/2006/relationships/image" Target="../media/image494.png"/><Relationship Id="rId202" Type="http://schemas.openxmlformats.org/officeDocument/2006/relationships/image" Target="../media/image101.png"/><Relationship Id="rId647" Type="http://schemas.openxmlformats.org/officeDocument/2006/relationships/hyperlink" Target="https://raw.githubusercontent.com/ItsCryp7iC/Genshin-Image-Hosting/main/WeaponMaterials/MaskoftheWickedLieutenant.png" TargetMode="External"/><Relationship Id="rId854" Type="http://schemas.openxmlformats.org/officeDocument/2006/relationships/image" Target="../media/image424.png"/><Relationship Id="rId286" Type="http://schemas.openxmlformats.org/officeDocument/2006/relationships/image" Target="../media/image143.png"/><Relationship Id="rId493" Type="http://schemas.openxmlformats.org/officeDocument/2006/relationships/image" Target="../media/image246.png"/><Relationship Id="rId507" Type="http://schemas.openxmlformats.org/officeDocument/2006/relationships/image" Target="../media/image252.png"/><Relationship Id="rId714" Type="http://schemas.openxmlformats.org/officeDocument/2006/relationships/image" Target="../media/image354.png"/><Relationship Id="rId921" Type="http://schemas.openxmlformats.org/officeDocument/2006/relationships/hyperlink" Target="https://raw.githubusercontent.com/ItsCryp7iC/Genshin-Image-Hosting/main/Characters/RaidenShogun.png" TargetMode="External"/><Relationship Id="rId50" Type="http://schemas.openxmlformats.org/officeDocument/2006/relationships/image" Target="../media/image25.png"/><Relationship Id="rId146" Type="http://schemas.openxmlformats.org/officeDocument/2006/relationships/image" Target="../media/image73.png"/><Relationship Id="rId353" Type="http://schemas.openxmlformats.org/officeDocument/2006/relationships/hyperlink" Target="https://raw.githubusercontent.com/ItsCryp7iC/Genshin-Image-Hosting/main/MonsterDrops/2Star/TransoceanicChunk.png" TargetMode="External"/><Relationship Id="rId560" Type="http://schemas.openxmlformats.org/officeDocument/2006/relationships/image" Target="../media/image277.png"/><Relationship Id="rId798" Type="http://schemas.openxmlformats.org/officeDocument/2006/relationships/image" Target="../media/image396.png"/><Relationship Id="rId213" Type="http://schemas.openxmlformats.org/officeDocument/2006/relationships/hyperlink" Target="https://raw.githubusercontent.com/ItsCryp7iC/Genshin-Image-Hosting/main/MonsterDrops/2Star/SergeantsInsignia.png" TargetMode="External"/><Relationship Id="rId420" Type="http://schemas.openxmlformats.org/officeDocument/2006/relationships/image" Target="../media/image210.png"/><Relationship Id="rId658" Type="http://schemas.openxmlformats.org/officeDocument/2006/relationships/image" Target="../media/image326.png"/><Relationship Id="rId865" Type="http://schemas.openxmlformats.org/officeDocument/2006/relationships/hyperlink" Target="https://raw.githubusercontent.com/ItsCryp7iC/Genshin-Image-Hosting/main/Characters/Ningguang.png" TargetMode="External"/><Relationship Id="rId1050" Type="http://schemas.openxmlformats.org/officeDocument/2006/relationships/image" Target="../media/image522.png"/><Relationship Id="rId297" Type="http://schemas.openxmlformats.org/officeDocument/2006/relationships/hyperlink" Target="https://raw.githubusercontent.com/ItsCryp7iC/Genshin-Image-Hosting/main/WeaponMaterials/FettersoftheDandelionGladiator.png" TargetMode="External"/><Relationship Id="rId518" Type="http://schemas.openxmlformats.org/officeDocument/2006/relationships/hyperlink" Target="https://raw.githubusercontent.com/ItsCryp7iC/Genshin-Image-Hosting/main/Characters/TravelerHydro.png" TargetMode="External"/><Relationship Id="rId725" Type="http://schemas.openxmlformats.org/officeDocument/2006/relationships/hyperlink" Target="https://raw.githubusercontent.com/ItsCryp7iC/Genshin-Image-Hosting/main/WeaponMaterials/OasisGardensKindness.png" TargetMode="External"/><Relationship Id="rId932" Type="http://schemas.openxmlformats.org/officeDocument/2006/relationships/image" Target="../media/image463.png"/><Relationship Id="rId157" Type="http://schemas.openxmlformats.org/officeDocument/2006/relationships/hyperlink" Target="https://raw.githubusercontent.com/ItsCryp7iC/Genshin-Image-Hosting/main/WeaponMaterials/ScatteredPieceofDecarabiansDream.png" TargetMode="External"/><Relationship Id="rId364" Type="http://schemas.openxmlformats.org/officeDocument/2006/relationships/image" Target="../media/image182.png"/><Relationship Id="rId1008" Type="http://schemas.openxmlformats.org/officeDocument/2006/relationships/image" Target="../media/image501.png"/><Relationship Id="rId61" Type="http://schemas.openxmlformats.org/officeDocument/2006/relationships/hyperlink" Target="https://raw.githubusercontent.com/ItsCryp7iC/Genshin-Image-Hosting/main/Gems/NagadusEmeraldGemstone.png" TargetMode="External"/><Relationship Id="rId571" Type="http://schemas.openxmlformats.org/officeDocument/2006/relationships/hyperlink" Target="https://raw.githubusercontent.com/ItsCryp7iC/Genshin-Image-Hosting/main/LocalSpecialties/RomaritimeFlower.png" TargetMode="External"/><Relationship Id="rId669" Type="http://schemas.openxmlformats.org/officeDocument/2006/relationships/hyperlink" Target="https://raw.githubusercontent.com/ItsCryp7iC/Genshin-Image-Hosting/main/LocalSpecialties/SpringoftheFirstDewdrop.png" TargetMode="External"/><Relationship Id="rId876" Type="http://schemas.openxmlformats.org/officeDocument/2006/relationships/image" Target="../media/image435.png"/><Relationship Id="rId19" Type="http://schemas.openxmlformats.org/officeDocument/2006/relationships/hyperlink" Target="https://raw.githubusercontent.com/ItsCryp7iC/Genshin-Image-Hosting/main/Gems/PrithivaTopazGemstone.png" TargetMode="External"/><Relationship Id="rId224" Type="http://schemas.openxmlformats.org/officeDocument/2006/relationships/image" Target="../media/image112.png"/><Relationship Id="rId431" Type="http://schemas.openxmlformats.org/officeDocument/2006/relationships/hyperlink" Target="https://raw.githubusercontent.com/ItsCryp7iC/Genshin-Image-Hosting/main/LocalSpecialties/LumidouceBell.png" TargetMode="External"/><Relationship Id="rId529" Type="http://schemas.openxmlformats.org/officeDocument/2006/relationships/image" Target="../media/image262.png"/><Relationship Id="rId736" Type="http://schemas.openxmlformats.org/officeDocument/2006/relationships/image" Target="../media/image365.png"/><Relationship Id="rId1061" Type="http://schemas.openxmlformats.org/officeDocument/2006/relationships/hyperlink" Target="https://raw.githubusercontent.com/ItsCryp7iC/Genshin-Image-Hosting/main/Weapons/TheAlleyFlash.png" TargetMode="External"/><Relationship Id="rId168" Type="http://schemas.openxmlformats.org/officeDocument/2006/relationships/image" Target="../media/image84.png"/><Relationship Id="rId943" Type="http://schemas.openxmlformats.org/officeDocument/2006/relationships/hyperlink" Target="https://raw.githubusercontent.com/ItsCryp7iC/Genshin-Image-Hosting/main/Weapons/MitternachtsWaltz.png" TargetMode="External"/><Relationship Id="rId1019" Type="http://schemas.openxmlformats.org/officeDocument/2006/relationships/hyperlink" Target="https://raw.githubusercontent.com/ItsCryp7iC/Genshin-Image-Hosting/main/Weapons/SerpentSpine.png" TargetMode="External"/><Relationship Id="rId72" Type="http://schemas.openxmlformats.org/officeDocument/2006/relationships/image" Target="../media/image36.png"/><Relationship Id="rId375" Type="http://schemas.openxmlformats.org/officeDocument/2006/relationships/hyperlink" Target="https://raw.githubusercontent.com/ItsCryp7iC/Genshin-Image-Hosting/main/MonsterDrops/2Star/MechanicalSpurGear.png" TargetMode="External"/><Relationship Id="rId582" Type="http://schemas.openxmlformats.org/officeDocument/2006/relationships/image" Target="../media/image288.png"/><Relationship Id="rId803" Type="http://schemas.openxmlformats.org/officeDocument/2006/relationships/hyperlink" Target="https://raw.githubusercontent.com/ItsCryp7iC/Genshin-Image-Hosting/main/WeaponMaterials/SublimationofPureSacredDewdrop.png" TargetMode="External"/><Relationship Id="rId3" Type="http://schemas.openxmlformats.org/officeDocument/2006/relationships/hyperlink" Target="https://raw.githubusercontent.com/ItsCryp7iC/Genshin-Image-Hosting/main/Characters/Albedo.png" TargetMode="External"/><Relationship Id="rId235" Type="http://schemas.openxmlformats.org/officeDocument/2006/relationships/hyperlink" Target="https://raw.githubusercontent.com/ItsCryp7iC/Genshin-Image-Hosting/main/WeeklyBoss/ShardofaFoulLegacy.png" TargetMode="External"/><Relationship Id="rId442" Type="http://schemas.openxmlformats.org/officeDocument/2006/relationships/image" Target="../media/image221.png"/><Relationship Id="rId887" Type="http://schemas.openxmlformats.org/officeDocument/2006/relationships/hyperlink" Target="https://raw.githubusercontent.com/ItsCryp7iC/Genshin-Image-Hosting/main/Weapons/LightofFoliarIncision.png" TargetMode="External"/><Relationship Id="rId1072" Type="http://schemas.openxmlformats.org/officeDocument/2006/relationships/image" Target="../media/image533.png"/><Relationship Id="rId302" Type="http://schemas.openxmlformats.org/officeDocument/2006/relationships/image" Target="../media/image151.png"/><Relationship Id="rId747" Type="http://schemas.openxmlformats.org/officeDocument/2006/relationships/hyperlink" Target="https://raw.githubusercontent.com/ItsCryp7iC/Genshin-Image-Hosting/main/Weapons/FavoniusSword.png" TargetMode="External"/><Relationship Id="rId954" Type="http://schemas.openxmlformats.org/officeDocument/2006/relationships/image" Target="../media/image474.png"/><Relationship Id="rId83" Type="http://schemas.openxmlformats.org/officeDocument/2006/relationships/hyperlink" Target="https://raw.githubusercontent.com/ItsCryp7iC/Genshin-Image-Hosting/main/Weapons/Akuoumaru.png" TargetMode="External"/><Relationship Id="rId179" Type="http://schemas.openxmlformats.org/officeDocument/2006/relationships/hyperlink" Target="https://raw.githubusercontent.com/ItsCryp7iC/Genshin-Image-Hosting/main/MonsterDrops/1Star/TreasureHoarderInsignia.png" TargetMode="External"/><Relationship Id="rId386" Type="http://schemas.openxmlformats.org/officeDocument/2006/relationships/image" Target="../media/image193.png"/><Relationship Id="rId593" Type="http://schemas.openxmlformats.org/officeDocument/2006/relationships/hyperlink" Target="https://raw.githubusercontent.com/ItsCryp7iC/Genshin-Image-Hosting/main/Characters/Collei.png" TargetMode="External"/><Relationship Id="rId607" Type="http://schemas.openxmlformats.org/officeDocument/2006/relationships/hyperlink" Target="https://raw.githubusercontent.com/ItsCryp7iC/Genshin-Image-Hosting/main/WorldBoss/CloudseamScale.png" TargetMode="External"/><Relationship Id="rId814" Type="http://schemas.openxmlformats.org/officeDocument/2006/relationships/image" Target="../media/image404.png"/><Relationship Id="rId246" Type="http://schemas.openxmlformats.org/officeDocument/2006/relationships/image" Target="../media/image123.png"/><Relationship Id="rId453" Type="http://schemas.openxmlformats.org/officeDocument/2006/relationships/hyperlink" Target="https://raw.githubusercontent.com/ItsCryp7iC/Genshin-Image-Hosting/main/Weapons/BlackTassel.png" TargetMode="External"/><Relationship Id="rId660" Type="http://schemas.openxmlformats.org/officeDocument/2006/relationships/image" Target="../media/image327.png"/><Relationship Id="rId898" Type="http://schemas.openxmlformats.org/officeDocument/2006/relationships/image" Target="../media/image446.png"/><Relationship Id="rId1083" Type="http://schemas.openxmlformats.org/officeDocument/2006/relationships/hyperlink" Target="https://raw.githubusercontent.com/ItsCryp7iC/Genshin-Image-Hosting/main/Weapons/ThrillingTalesofDragonSlayers.png" TargetMode="External"/><Relationship Id="rId106" Type="http://schemas.openxmlformats.org/officeDocument/2006/relationships/image" Target="../media/image53.png"/><Relationship Id="rId313" Type="http://schemas.openxmlformats.org/officeDocument/2006/relationships/hyperlink" Target="https://raw.githubusercontent.com/ItsCryp7iC/Genshin-Image-Hosting/main/MonsterDrops/2Star/LuminescentPollen.png" TargetMode="External"/><Relationship Id="rId758" Type="http://schemas.openxmlformats.org/officeDocument/2006/relationships/image" Target="../media/image376.png"/><Relationship Id="rId965" Type="http://schemas.openxmlformats.org/officeDocument/2006/relationships/hyperlink" Target="https://raw.githubusercontent.com/ItsCryp7iC/Genshin-Image-Hosting/main/Weapons/PrimordialJadeCutter.png" TargetMode="External"/><Relationship Id="rId10" Type="http://schemas.openxmlformats.org/officeDocument/2006/relationships/image" Target="../media/image5.png"/><Relationship Id="rId94" Type="http://schemas.openxmlformats.org/officeDocument/2006/relationships/image" Target="../media/image47.png"/><Relationship Id="rId397" Type="http://schemas.openxmlformats.org/officeDocument/2006/relationships/hyperlink" Target="https://raw.githubusercontent.com/ItsCryp7iC/Genshin-Image-Hosting/main/WorldBoss/RiftbornRegalia.png" TargetMode="External"/><Relationship Id="rId520" Type="http://schemas.openxmlformats.org/officeDocument/2006/relationships/image" Target="../media/image258.png"/><Relationship Id="rId618" Type="http://schemas.openxmlformats.org/officeDocument/2006/relationships/image" Target="../media/image306.png"/><Relationship Id="rId825" Type="http://schemas.openxmlformats.org/officeDocument/2006/relationships/hyperlink" Target="https://raw.githubusercontent.com/ItsCryp7iC/Genshin-Image-Hosting/main/Weapons/Halberd.png" TargetMode="External"/><Relationship Id="rId257" Type="http://schemas.openxmlformats.org/officeDocument/2006/relationships/hyperlink" Target="https://raw.githubusercontent.com/ItsCryp7iC/Genshin-Image-Hosting/main/WorldBoss/MarionetteCore.png" TargetMode="External"/><Relationship Id="rId464" Type="http://schemas.openxmlformats.org/officeDocument/2006/relationships/image" Target="../media/image232.png"/><Relationship Id="rId1010" Type="http://schemas.openxmlformats.org/officeDocument/2006/relationships/image" Target="../media/image502.png"/><Relationship Id="rId1094" Type="http://schemas.openxmlformats.org/officeDocument/2006/relationships/image" Target="../media/image544.png"/><Relationship Id="rId1108" Type="http://schemas.openxmlformats.org/officeDocument/2006/relationships/image" Target="../media/image551.png"/><Relationship Id="rId117" Type="http://schemas.openxmlformats.org/officeDocument/2006/relationships/hyperlink" Target="https://raw.githubusercontent.com/ItsCryp7iC/Genshin-Image-Hosting/main/Billets/polearm.png" TargetMode="External"/><Relationship Id="rId671" Type="http://schemas.openxmlformats.org/officeDocument/2006/relationships/hyperlink" Target="https://raw.githubusercontent.com/ItsCryp7iC/Genshin-Image-Hosting/main/Weapons/EmeraldOrb.png" TargetMode="External"/><Relationship Id="rId769" Type="http://schemas.openxmlformats.org/officeDocument/2006/relationships/hyperlink" Target="https://raw.githubusercontent.com/ItsCryp7iC/Genshin-Image-Hosting/main/Characters/Eula.png" TargetMode="External"/><Relationship Id="rId976" Type="http://schemas.openxmlformats.org/officeDocument/2006/relationships/image" Target="../media/image485.png"/><Relationship Id="rId324" Type="http://schemas.openxmlformats.org/officeDocument/2006/relationships/image" Target="../media/image162.png"/><Relationship Id="rId531" Type="http://schemas.openxmlformats.org/officeDocument/2006/relationships/image" Target="../media/image263.png"/><Relationship Id="rId629" Type="http://schemas.openxmlformats.org/officeDocument/2006/relationships/hyperlink" Target="https://raw.githubusercontent.com/ItsCryp7iC/Genshin-Image-Hosting/main/Weapons/DialoguesoftheDesertSages.png" TargetMode="External"/><Relationship Id="rId836" Type="http://schemas.openxmlformats.org/officeDocument/2006/relationships/image" Target="../media/image415.png"/><Relationship Id="rId1021" Type="http://schemas.openxmlformats.org/officeDocument/2006/relationships/hyperlink" Target="https://raw.githubusercontent.com/ItsCryp7iC/Genshin-Image-Hosting/main/Weapons/SharpshootersOath.png" TargetMode="External"/><Relationship Id="rId1119" Type="http://schemas.openxmlformats.org/officeDocument/2006/relationships/hyperlink" Target="https://raw.githubusercontent.com/ItsCryp7iC/Genshin-Image-Hosting/main/Weapons/WineandSong.png" TargetMode="External"/><Relationship Id="rId903" Type="http://schemas.openxmlformats.org/officeDocument/2006/relationships/hyperlink" Target="https://raw.githubusercontent.com/ItsCryp7iC/Genshin-Image-Hosting/main/Weapons/LostPrayertotheSacredWinds.png" TargetMode="External"/><Relationship Id="rId32" Type="http://schemas.openxmlformats.org/officeDocument/2006/relationships/image" Target="../media/image16.png"/><Relationship Id="rId181" Type="http://schemas.openxmlformats.org/officeDocument/2006/relationships/hyperlink" Target="https://raw.githubusercontent.com/ItsCryp7iC/Genshin-Image-Hosting/main/TalentBooks/GuidetoResistance.png" TargetMode="External"/><Relationship Id="rId279" Type="http://schemas.openxmlformats.org/officeDocument/2006/relationships/hyperlink" Target="https://raw.githubusercontent.com/ItsCryp7iC/Genshin-Image-Hosting/main/WeaponMaterials/BorealWolfsNostalgia.png" TargetMode="External"/><Relationship Id="rId486" Type="http://schemas.openxmlformats.org/officeDocument/2006/relationships/hyperlink" Target="https://raw.githubusercontent.com/ItsCryp7iC/Genshin-Image-Hosting/main/WeeklyBoss/DakasBell.png" TargetMode="External"/><Relationship Id="rId693" Type="http://schemas.openxmlformats.org/officeDocument/2006/relationships/hyperlink" Target="https://raw.githubusercontent.com/ItsCryp7iC/Genshin-Image-Hosting/main/Weapons/EngulfingLightning.png" TargetMode="External"/><Relationship Id="rId139" Type="http://schemas.openxmlformats.org/officeDocument/2006/relationships/hyperlink" Target="https://raw.githubusercontent.com/ItsCryp7iC/Genshin-Image-Hosting/main/WeeklyBoss/TailofBoreas.png" TargetMode="External"/><Relationship Id="rId346" Type="http://schemas.openxmlformats.org/officeDocument/2006/relationships/image" Target="../media/image173.png"/><Relationship Id="rId553" Type="http://schemas.openxmlformats.org/officeDocument/2006/relationships/hyperlink" Target="https://raw.githubusercontent.com/ItsCryp7iC/Genshin-Image-Hosting/main/WorldBoss/EmperorsResolution.png" TargetMode="External"/><Relationship Id="rId760" Type="http://schemas.openxmlformats.org/officeDocument/2006/relationships/image" Target="../media/image377.png"/><Relationship Id="rId998" Type="http://schemas.openxmlformats.org/officeDocument/2006/relationships/image" Target="../media/image496.png"/><Relationship Id="rId206" Type="http://schemas.openxmlformats.org/officeDocument/2006/relationships/image" Target="../media/image103.png"/><Relationship Id="rId413" Type="http://schemas.openxmlformats.org/officeDocument/2006/relationships/hyperlink" Target="https://raw.githubusercontent.com/ItsCryp7iC/Genshin-Image-Hosting/main/WorldBoss/PerpetualCaliber.png" TargetMode="External"/><Relationship Id="rId858" Type="http://schemas.openxmlformats.org/officeDocument/2006/relationships/image" Target="../media/image426.png"/><Relationship Id="rId1043" Type="http://schemas.openxmlformats.org/officeDocument/2006/relationships/hyperlink" Target="https://raw.githubusercontent.com/ItsCryp7iC/Genshin-Image-Hosting/main/Weapons/SongofBrokenPines.png" TargetMode="External"/><Relationship Id="rId620" Type="http://schemas.openxmlformats.org/officeDocument/2006/relationships/image" Target="../media/image307.png"/><Relationship Id="rId718" Type="http://schemas.openxmlformats.org/officeDocument/2006/relationships/image" Target="../media/image356.png"/><Relationship Id="rId925" Type="http://schemas.openxmlformats.org/officeDocument/2006/relationships/hyperlink" Target="https://raw.githubusercontent.com/ItsCryp7iC/Genshin-Image-Hosting/main/Characters/Rosaria.png" TargetMode="External"/><Relationship Id="rId1110" Type="http://schemas.openxmlformats.org/officeDocument/2006/relationships/image" Target="../media/image552.png"/><Relationship Id="rId54" Type="http://schemas.openxmlformats.org/officeDocument/2006/relationships/image" Target="../media/image27.png"/><Relationship Id="rId270" Type="http://schemas.openxmlformats.org/officeDocument/2006/relationships/image" Target="../media/image135.png"/><Relationship Id="rId130" Type="http://schemas.openxmlformats.org/officeDocument/2006/relationships/image" Target="../media/image65.png"/><Relationship Id="rId368" Type="http://schemas.openxmlformats.org/officeDocument/2006/relationships/image" Target="../media/image184.png"/><Relationship Id="rId575" Type="http://schemas.openxmlformats.org/officeDocument/2006/relationships/hyperlink" Target="https://raw.githubusercontent.com/ItsCryp7iC/Genshin-Image-Hosting/main/Weapons/CrimsonMoonsSemblance.png" TargetMode="External"/><Relationship Id="rId782" Type="http://schemas.openxmlformats.org/officeDocument/2006/relationships/image" Target="../media/image388.png"/><Relationship Id="rId228" Type="http://schemas.openxmlformats.org/officeDocument/2006/relationships/image" Target="../media/image114.png"/><Relationship Id="rId435" Type="http://schemas.openxmlformats.org/officeDocument/2006/relationships/hyperlink" Target="https://raw.githubusercontent.com/ItsCryp7iC/Genshin-Image-Hosting/main/Weapons/BlackcliffWarbow.png" TargetMode="External"/><Relationship Id="rId642" Type="http://schemas.openxmlformats.org/officeDocument/2006/relationships/image" Target="../media/image318.png"/><Relationship Id="rId1065" Type="http://schemas.openxmlformats.org/officeDocument/2006/relationships/hyperlink" Target="https://raw.githubusercontent.com/ItsCryp7iC/Genshin-Image-Hosting/main/Weapons/TheBlackSword.png" TargetMode="External"/><Relationship Id="rId502" Type="http://schemas.openxmlformats.org/officeDocument/2006/relationships/image" Target="../media/image250.png"/><Relationship Id="rId947" Type="http://schemas.openxmlformats.org/officeDocument/2006/relationships/hyperlink" Target="https://raw.githubusercontent.com/ItsCryp7iC/Genshin-Image-Hosting/main/Weapons/Moonpiercer.png" TargetMode="External"/><Relationship Id="rId76" Type="http://schemas.openxmlformats.org/officeDocument/2006/relationships/image" Target="../media/image38.png"/><Relationship Id="rId807" Type="http://schemas.openxmlformats.org/officeDocument/2006/relationships/hyperlink" Target="https://raw.githubusercontent.com/ItsCryp7iC/Genshin-Image-Hosting/main/Weapons/Frostbearer.png" TargetMode="External"/><Relationship Id="rId292" Type="http://schemas.openxmlformats.org/officeDocument/2006/relationships/image" Target="../media/image146.png"/><Relationship Id="rId597" Type="http://schemas.openxmlformats.org/officeDocument/2006/relationships/hyperlink" Target="https://raw.githubusercontent.com/ItsCryp7iC/Genshin-Image-Hosting/main/TalentBooks/GuidetoIngenuity.png" TargetMode="External"/><Relationship Id="rId152" Type="http://schemas.openxmlformats.org/officeDocument/2006/relationships/image" Target="../media/image76.png"/><Relationship Id="rId457" Type="http://schemas.openxmlformats.org/officeDocument/2006/relationships/hyperlink" Target="https://raw.githubusercontent.com/ItsCryp7iC/Genshin-Image-Hosting/main/Characters/Qiqi.png" TargetMode="External"/><Relationship Id="rId1087" Type="http://schemas.openxmlformats.org/officeDocument/2006/relationships/hyperlink" Target="https://raw.githubusercontent.com/ItsCryp7iC/Genshin-Image-Hosting/main/Weapons/TidalShadow.png" TargetMode="External"/><Relationship Id="rId664" Type="http://schemas.openxmlformats.org/officeDocument/2006/relationships/image" Target="../media/image329.png"/><Relationship Id="rId871" Type="http://schemas.openxmlformats.org/officeDocument/2006/relationships/hyperlink" Target="https://raw.githubusercontent.com/ItsCryp7iC/Genshin-Image-Hosting/main/Weapons/KatsuragikiriNagamasa.png" TargetMode="External"/><Relationship Id="rId969" Type="http://schemas.openxmlformats.org/officeDocument/2006/relationships/hyperlink" Target="https://raw.githubusercontent.com/ItsCryp7iC/Genshin-Image-Hosting/main/Weapons/ProspectorsDrill.png" TargetMode="External"/><Relationship Id="rId317" Type="http://schemas.openxmlformats.org/officeDocument/2006/relationships/hyperlink" Target="https://raw.githubusercontent.com/ItsCryp7iC/Genshin-Image-Hosting/main/TalentBooks/TeachingsofGold.png" TargetMode="External"/><Relationship Id="rId524" Type="http://schemas.openxmlformats.org/officeDocument/2006/relationships/image" Target="../media/image260.png"/><Relationship Id="rId731" Type="http://schemas.openxmlformats.org/officeDocument/2006/relationships/hyperlink" Target="https://raw.githubusercontent.com/ItsCryp7iC/Genshin-Image-Hosting/main/LocalSpecialties/Wolfhook.png" TargetMode="External"/><Relationship Id="rId98" Type="http://schemas.openxmlformats.org/officeDocument/2006/relationships/image" Target="../media/image49.png"/><Relationship Id="rId829" Type="http://schemas.openxmlformats.org/officeDocument/2006/relationships/hyperlink" Target="https://raw.githubusercontent.com/ItsCryp7iC/Genshin-Image-Hosting/main/Characters/Baizhu.png" TargetMode="External"/><Relationship Id="rId1014" Type="http://schemas.openxmlformats.org/officeDocument/2006/relationships/image" Target="../media/image50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  <webImageSrd>
    <address r:id="rId3"/>
    <blip r:id="rId4"/>
  </webImageSrd>
  <webImageSrd>
    <address r:id="rId5"/>
    <blip r:id="rId6"/>
  </webImageSrd>
  <webImageSrd>
    <address r:id="rId7"/>
    <blip r:id="rId8"/>
  </webImageSrd>
  <webImageSrd>
    <address r:id="rId9"/>
    <blip r:id="rId10"/>
  </webImageSrd>
  <webImageSrd>
    <address r:id="rId11"/>
    <blip r:id="rId12"/>
  </webImageSrd>
  <webImageSrd>
    <address r:id="rId13"/>
    <blip r:id="rId14"/>
  </webImageSrd>
  <webImageSrd>
    <address r:id="rId15"/>
    <blip r:id="rId16"/>
  </webImageSrd>
  <webImageSrd>
    <address r:id="rId17"/>
    <blip r:id="rId18"/>
  </webImageSrd>
  <webImageSrd>
    <address r:id="rId19"/>
    <blip r:id="rId20"/>
  </webImageSrd>
  <webImageSrd>
    <address r:id="rId21"/>
    <blip r:id="rId22"/>
  </webImageSrd>
  <webImageSrd>
    <address r:id="rId23"/>
    <blip r:id="rId24"/>
  </webImageSrd>
  <webImageSrd>
    <address r:id="rId25"/>
    <blip r:id="rId26"/>
  </webImageSrd>
  <webImageSrd>
    <address r:id="rId27"/>
    <blip r:id="rId28"/>
  </webImageSrd>
  <webImageSrd>
    <address r:id="rId29"/>
    <blip r:id="rId30"/>
  </webImageSrd>
  <webImageSrd>
    <address r:id="rId31"/>
    <blip r:id="rId32"/>
  </webImageSrd>
  <webImageSrd>
    <address r:id="rId33"/>
    <blip r:id="rId34"/>
  </webImageSrd>
  <webImageSrd>
    <address r:id="rId35"/>
    <blip r:id="rId36"/>
  </webImageSrd>
  <webImageSrd>
    <address r:id="rId37"/>
    <blip r:id="rId38"/>
  </webImageSrd>
  <webImageSrd>
    <address r:id="rId39"/>
    <blip r:id="rId40"/>
  </webImageSrd>
  <webImageSrd>
    <address r:id="rId41"/>
    <blip r:id="rId42"/>
  </webImageSrd>
  <webImageSrd>
    <address r:id="rId43"/>
    <blip r:id="rId44"/>
  </webImageSrd>
  <webImageSrd>
    <address r:id="rId45"/>
    <blip r:id="rId46"/>
  </webImageSrd>
  <webImageSrd>
    <address r:id="rId47"/>
    <blip r:id="rId48"/>
  </webImageSrd>
  <webImageSrd>
    <address r:id="rId49"/>
    <blip r:id="rId50"/>
  </webImageSrd>
  <webImageSrd>
    <address r:id="rId51"/>
    <blip r:id="rId52"/>
  </webImageSrd>
  <webImageSrd>
    <address r:id="rId53"/>
    <blip r:id="rId54"/>
  </webImageSrd>
  <webImageSrd>
    <address r:id="rId55"/>
    <blip r:id="rId56"/>
  </webImageSrd>
  <webImageSrd>
    <address r:id="rId57"/>
    <blip r:id="rId58"/>
  </webImageSrd>
  <webImageSrd>
    <address r:id="rId59"/>
    <blip r:id="rId60"/>
  </webImageSrd>
  <webImageSrd>
    <address r:id="rId61"/>
    <blip r:id="rId62"/>
  </webImageSrd>
  <webImageSrd>
    <address r:id="rId63"/>
    <blip r:id="rId64"/>
  </webImageSrd>
  <webImageSrd>
    <address r:id="rId65"/>
    <blip r:id="rId66"/>
  </webImageSrd>
  <webImageSrd>
    <address r:id="rId67"/>
    <blip r:id="rId68"/>
  </webImageSrd>
  <webImageSrd>
    <address r:id="rId69"/>
    <blip r:id="rId70"/>
  </webImageSrd>
  <webImageSrd>
    <address r:id="rId71"/>
    <blip r:id="rId72"/>
  </webImageSrd>
  <webImageSrd>
    <address r:id="rId73"/>
    <blip r:id="rId74"/>
  </webImageSrd>
  <webImageSrd>
    <address r:id="rId75"/>
    <blip r:id="rId76"/>
  </webImageSrd>
  <webImageSrd>
    <address r:id="rId77"/>
    <blip r:id="rId78"/>
  </webImageSrd>
  <webImageSrd>
    <address r:id="rId79"/>
    <blip r:id="rId80"/>
  </webImageSrd>
  <webImageSrd>
    <address r:id="rId81"/>
    <blip r:id="rId82"/>
  </webImageSrd>
  <webImageSrd>
    <address r:id="rId83"/>
    <blip r:id="rId84"/>
  </webImageSrd>
  <webImageSrd>
    <address r:id="rId85"/>
    <blip r:id="rId86"/>
  </webImageSrd>
  <webImageSrd>
    <address r:id="rId87"/>
    <blip r:id="rId88"/>
  </webImageSrd>
  <webImageSrd>
    <address r:id="rId89"/>
    <blip r:id="rId90"/>
  </webImageSrd>
  <webImageSrd>
    <address r:id="rId91"/>
    <blip r:id="rId92"/>
  </webImageSrd>
  <webImageSrd>
    <address r:id="rId93"/>
    <blip r:id="rId94"/>
  </webImageSrd>
  <webImageSrd>
    <address r:id="rId95"/>
    <blip r:id="rId96"/>
  </webImageSrd>
  <webImageSrd>
    <address r:id="rId97"/>
    <blip r:id="rId98"/>
  </webImageSrd>
  <webImageSrd>
    <address r:id="rId99"/>
    <blip r:id="rId100"/>
  </webImageSrd>
  <webImageSrd>
    <address r:id="rId101"/>
    <blip r:id="rId102"/>
  </webImageSrd>
  <webImageSrd>
    <address r:id="rId103"/>
    <blip r:id="rId104"/>
  </webImageSrd>
  <webImageSrd>
    <address r:id="rId105"/>
    <blip r:id="rId106"/>
  </webImageSrd>
  <webImageSrd>
    <address r:id="rId107"/>
    <blip r:id="rId108"/>
  </webImageSrd>
  <webImageSrd>
    <address r:id="rId109"/>
    <blip r:id="rId110"/>
  </webImageSrd>
  <webImageSrd>
    <address r:id="rId111"/>
    <blip r:id="rId112"/>
  </webImageSrd>
  <webImageSrd>
    <address r:id="rId113"/>
    <blip r:id="rId114"/>
  </webImageSrd>
  <webImageSrd>
    <address r:id="rId115"/>
    <blip r:id="rId116"/>
  </webImageSrd>
  <webImageSrd>
    <address r:id="rId117"/>
    <blip r:id="rId118"/>
  </webImageSrd>
  <webImageSrd>
    <address r:id="rId119"/>
    <blip r:id="rId120"/>
  </webImageSrd>
  <webImageSrd>
    <address r:id="rId121"/>
    <blip r:id="rId122"/>
  </webImageSrd>
  <webImageSrd>
    <address r:id="rId123"/>
    <blip r:id="rId124"/>
  </webImageSrd>
  <webImageSrd>
    <address r:id="rId125"/>
    <blip r:id="rId126"/>
  </webImageSrd>
  <webImageSrd>
    <address r:id="rId127"/>
    <blip r:id="rId128"/>
  </webImageSrd>
  <webImageSrd>
    <address r:id="rId129"/>
    <blip r:id="rId130"/>
  </webImageSrd>
  <webImageSrd>
    <address r:id="rId131"/>
    <blip r:id="rId132"/>
  </webImageSrd>
  <webImageSrd>
    <address r:id="rId133"/>
    <blip r:id="rId134"/>
  </webImageSrd>
  <webImageSrd>
    <address r:id="rId135"/>
    <blip r:id="rId136"/>
  </webImageSrd>
  <webImageSrd>
    <address r:id="rId137"/>
    <blip r:id="rId138"/>
  </webImageSrd>
  <webImageSrd>
    <address r:id="rId139"/>
    <blip r:id="rId140"/>
  </webImageSrd>
  <webImageSrd>
    <address r:id="rId141"/>
    <blip r:id="rId142"/>
  </webImageSrd>
  <webImageSrd>
    <address r:id="rId143"/>
    <blip r:id="rId144"/>
  </webImageSrd>
  <webImageSrd>
    <address r:id="rId145"/>
    <blip r:id="rId146"/>
  </webImageSrd>
  <webImageSrd>
    <address r:id="rId147"/>
    <blip r:id="rId148"/>
  </webImageSrd>
  <webImageSrd>
    <address r:id="rId149"/>
    <blip r:id="rId150"/>
  </webImageSrd>
  <webImageSrd>
    <address r:id="rId151"/>
    <blip r:id="rId152"/>
  </webImageSrd>
  <webImageSrd>
    <address r:id="rId153"/>
    <blip r:id="rId154"/>
  </webImageSrd>
  <webImageSrd>
    <address r:id="rId155"/>
    <blip r:id="rId156"/>
  </webImageSrd>
  <webImageSrd>
    <address r:id="rId157"/>
    <blip r:id="rId158"/>
  </webImageSrd>
  <webImageSrd>
    <address r:id="rId159"/>
    <blip r:id="rId160"/>
  </webImageSrd>
  <webImageSrd>
    <address r:id="rId161"/>
    <blip r:id="rId162"/>
  </webImageSrd>
  <webImageSrd>
    <address r:id="rId163"/>
    <blip r:id="rId164"/>
  </webImageSrd>
  <webImageSrd>
    <address r:id="rId165"/>
    <blip r:id="rId166"/>
  </webImageSrd>
  <webImageSrd>
    <address r:id="rId167"/>
    <blip r:id="rId168"/>
  </webImageSrd>
  <webImageSrd>
    <address r:id="rId169"/>
    <blip r:id="rId170"/>
  </webImageSrd>
  <webImageSrd>
    <address r:id="rId171"/>
    <blip r:id="rId172"/>
  </webImageSrd>
  <webImageSrd>
    <address r:id="rId173"/>
    <blip r:id="rId174"/>
  </webImageSrd>
  <webImageSrd>
    <address r:id="rId175"/>
    <blip r:id="rId176"/>
  </webImageSrd>
  <webImageSrd>
    <address r:id="rId177"/>
    <blip r:id="rId178"/>
  </webImageSrd>
  <webImageSrd>
    <address r:id="rId179"/>
    <blip r:id="rId180"/>
  </webImageSrd>
  <webImageSrd>
    <address r:id="rId181"/>
    <blip r:id="rId182"/>
  </webImageSrd>
  <webImageSrd>
    <address r:id="rId183"/>
    <blip r:id="rId184"/>
  </webImageSrd>
  <webImageSrd>
    <address r:id="rId185"/>
    <blip r:id="rId186"/>
  </webImageSrd>
  <webImageSrd>
    <address r:id="rId187"/>
    <blip r:id="rId188"/>
  </webImageSrd>
  <webImageSrd>
    <address r:id="rId189"/>
    <blip r:id="rId190"/>
  </webImageSrd>
  <webImageSrd>
    <address r:id="rId191"/>
    <blip r:id="rId192"/>
  </webImageSrd>
  <webImageSrd>
    <address r:id="rId193"/>
    <blip r:id="rId194"/>
  </webImageSrd>
  <webImageSrd>
    <address r:id="rId195"/>
    <blip r:id="rId196"/>
  </webImageSrd>
  <webImageSrd>
    <address r:id="rId197"/>
    <blip r:id="rId198"/>
  </webImageSrd>
  <webImageSrd>
    <address r:id="rId199"/>
    <blip r:id="rId200"/>
  </webImageSrd>
  <webImageSrd>
    <address r:id="rId201"/>
    <blip r:id="rId202"/>
  </webImageSrd>
  <webImageSrd>
    <address r:id="rId203"/>
    <blip r:id="rId204"/>
  </webImageSrd>
  <webImageSrd>
    <address r:id="rId205"/>
    <blip r:id="rId206"/>
  </webImageSrd>
  <webImageSrd>
    <address r:id="rId207"/>
    <blip r:id="rId208"/>
  </webImageSrd>
  <webImageSrd>
    <address r:id="rId209"/>
    <blip r:id="rId210"/>
  </webImageSrd>
  <webImageSrd>
    <address r:id="rId211"/>
    <blip r:id="rId212"/>
  </webImageSrd>
  <webImageSrd>
    <address r:id="rId213"/>
    <blip r:id="rId214"/>
  </webImageSrd>
  <webImageSrd>
    <address r:id="rId215"/>
    <blip r:id="rId216"/>
  </webImageSrd>
  <webImageSrd>
    <address r:id="rId217"/>
    <blip r:id="rId218"/>
  </webImageSrd>
  <webImageSrd>
    <address r:id="rId219"/>
    <blip r:id="rId220"/>
  </webImageSrd>
  <webImageSrd>
    <address r:id="rId221"/>
    <blip r:id="rId222"/>
  </webImageSrd>
  <webImageSrd>
    <address r:id="rId223"/>
    <blip r:id="rId224"/>
  </webImageSrd>
  <webImageSrd>
    <address r:id="rId225"/>
    <blip r:id="rId226"/>
  </webImageSrd>
  <webImageSrd>
    <address r:id="rId227"/>
    <blip r:id="rId228"/>
  </webImageSrd>
  <webImageSrd>
    <address r:id="rId229"/>
    <blip r:id="rId230"/>
  </webImageSrd>
  <webImageSrd>
    <address r:id="rId231"/>
    <blip r:id="rId232"/>
  </webImageSrd>
  <webImageSrd>
    <address r:id="rId233"/>
    <blip r:id="rId234"/>
  </webImageSrd>
  <webImageSrd>
    <address r:id="rId235"/>
    <blip r:id="rId236"/>
  </webImageSrd>
  <webImageSrd>
    <address r:id="rId237"/>
    <blip r:id="rId238"/>
  </webImageSrd>
  <webImageSrd>
    <address r:id="rId239"/>
    <blip r:id="rId240"/>
  </webImageSrd>
  <webImageSrd>
    <address r:id="rId241"/>
    <blip r:id="rId242"/>
  </webImageSrd>
  <webImageSrd>
    <address r:id="rId243"/>
    <blip r:id="rId244"/>
  </webImageSrd>
  <webImageSrd>
    <address r:id="rId245"/>
    <blip r:id="rId246"/>
  </webImageSrd>
  <webImageSrd>
    <address r:id="rId247"/>
    <blip r:id="rId248"/>
  </webImageSrd>
  <webImageSrd>
    <address r:id="rId249"/>
    <blip r:id="rId250"/>
  </webImageSrd>
  <webImageSrd>
    <address r:id="rId251"/>
    <blip r:id="rId252"/>
  </webImageSrd>
  <webImageSrd>
    <address r:id="rId253"/>
    <blip r:id="rId254"/>
  </webImageSrd>
  <webImageSrd>
    <address r:id="rId255"/>
    <blip r:id="rId256"/>
  </webImageSrd>
  <webImageSrd>
    <address r:id="rId257"/>
    <blip r:id="rId258"/>
  </webImageSrd>
  <webImageSrd>
    <address r:id="rId259"/>
    <blip r:id="rId260"/>
  </webImageSrd>
  <webImageSrd>
    <address r:id="rId261"/>
    <blip r:id="rId262"/>
  </webImageSrd>
  <webImageSrd>
    <address r:id="rId263"/>
    <blip r:id="rId264"/>
  </webImageSrd>
  <webImageSrd>
    <address r:id="rId265"/>
    <blip r:id="rId266"/>
  </webImageSrd>
  <webImageSrd>
    <address r:id="rId267"/>
    <blip r:id="rId268"/>
  </webImageSrd>
  <webImageSrd>
    <address r:id="rId269"/>
    <blip r:id="rId270"/>
  </webImageSrd>
  <webImageSrd>
    <address r:id="rId271"/>
    <blip r:id="rId272"/>
  </webImageSrd>
  <webImageSrd>
    <address r:id="rId273"/>
    <blip r:id="rId274"/>
  </webImageSrd>
  <webImageSrd>
    <address r:id="rId275"/>
    <blip r:id="rId276"/>
  </webImageSrd>
  <webImageSrd>
    <address r:id="rId277"/>
    <blip r:id="rId278"/>
  </webImageSrd>
  <webImageSrd>
    <address r:id="rId279"/>
    <blip r:id="rId280"/>
  </webImageSrd>
  <webImageSrd>
    <address r:id="rId281"/>
    <blip r:id="rId282"/>
  </webImageSrd>
  <webImageSrd>
    <address r:id="rId283"/>
    <blip r:id="rId284"/>
  </webImageSrd>
  <webImageSrd>
    <address r:id="rId285"/>
    <blip r:id="rId286"/>
  </webImageSrd>
  <webImageSrd>
    <address r:id="rId287"/>
    <blip r:id="rId288"/>
  </webImageSrd>
  <webImageSrd>
    <address r:id="rId289"/>
    <blip r:id="rId290"/>
  </webImageSrd>
  <webImageSrd>
    <address r:id="rId291"/>
    <blip r:id="rId292"/>
  </webImageSrd>
  <webImageSrd>
    <address r:id="rId293"/>
    <blip r:id="rId294"/>
  </webImageSrd>
  <webImageSrd>
    <address r:id="rId295"/>
    <blip r:id="rId296"/>
  </webImageSrd>
  <webImageSrd>
    <address r:id="rId297"/>
    <blip r:id="rId298"/>
  </webImageSrd>
  <webImageSrd>
    <address r:id="rId299"/>
    <blip r:id="rId300"/>
  </webImageSrd>
  <webImageSrd>
    <address r:id="rId301"/>
    <blip r:id="rId302"/>
  </webImageSrd>
  <webImageSrd>
    <address r:id="rId303"/>
    <blip r:id="rId304"/>
  </webImageSrd>
  <webImageSrd>
    <address r:id="rId305"/>
    <blip r:id="rId306"/>
  </webImageSrd>
  <webImageSrd>
    <address r:id="rId307"/>
    <blip r:id="rId308"/>
  </webImageSrd>
  <webImageSrd>
    <address r:id="rId309"/>
    <blip r:id="rId310"/>
  </webImageSrd>
  <webImageSrd>
    <address r:id="rId311"/>
    <blip r:id="rId312"/>
  </webImageSrd>
  <webImageSrd>
    <address r:id="rId313"/>
    <blip r:id="rId314"/>
  </webImageSrd>
  <webImageSrd>
    <address r:id="rId315"/>
    <blip r:id="rId316"/>
  </webImageSrd>
  <webImageSrd>
    <address r:id="rId317"/>
    <blip r:id="rId318"/>
  </webImageSrd>
  <webImageSrd>
    <address r:id="rId319"/>
    <blip r:id="rId320"/>
  </webImageSrd>
  <webImageSrd>
    <address r:id="rId321"/>
    <blip r:id="rId322"/>
  </webImageSrd>
  <webImageSrd>
    <address r:id="rId323"/>
    <blip r:id="rId324"/>
  </webImageSrd>
  <webImageSrd>
    <address r:id="rId325"/>
    <blip r:id="rId326"/>
  </webImageSrd>
  <webImageSrd>
    <address r:id="rId327"/>
    <blip r:id="rId328"/>
  </webImageSrd>
  <webImageSrd>
    <address r:id="rId329"/>
    <blip r:id="rId330"/>
  </webImageSrd>
  <webImageSrd>
    <address r:id="rId331"/>
    <blip r:id="rId332"/>
  </webImageSrd>
  <webImageSrd>
    <address r:id="rId333"/>
    <blip r:id="rId334"/>
  </webImageSrd>
  <webImageSrd>
    <address r:id="rId335"/>
    <blip r:id="rId336"/>
  </webImageSrd>
  <webImageSrd>
    <address r:id="rId337"/>
    <blip r:id="rId338"/>
  </webImageSrd>
  <webImageSrd>
    <address r:id="rId339"/>
    <blip r:id="rId340"/>
  </webImageSrd>
  <webImageSrd>
    <address r:id="rId341"/>
    <blip r:id="rId342"/>
  </webImageSrd>
  <webImageSrd>
    <address r:id="rId343"/>
    <blip r:id="rId344"/>
  </webImageSrd>
  <webImageSrd>
    <address r:id="rId345"/>
    <blip r:id="rId346"/>
  </webImageSrd>
  <webImageSrd>
    <address r:id="rId347"/>
    <blip r:id="rId348"/>
  </webImageSrd>
  <webImageSrd>
    <address r:id="rId349"/>
    <blip r:id="rId350"/>
  </webImageSrd>
  <webImageSrd>
    <address r:id="rId351"/>
    <blip r:id="rId352"/>
  </webImageSrd>
  <webImageSrd>
    <address r:id="rId353"/>
    <blip r:id="rId354"/>
  </webImageSrd>
  <webImageSrd>
    <address r:id="rId355"/>
    <blip r:id="rId356"/>
  </webImageSrd>
  <webImageSrd>
    <address r:id="rId357"/>
    <blip r:id="rId358"/>
  </webImageSrd>
  <webImageSrd>
    <address r:id="rId359"/>
    <blip r:id="rId360"/>
  </webImageSrd>
  <webImageSrd>
    <address r:id="rId361"/>
    <blip r:id="rId362"/>
  </webImageSrd>
  <webImageSrd>
    <address r:id="rId363"/>
    <blip r:id="rId364"/>
  </webImageSrd>
  <webImageSrd>
    <address r:id="rId365"/>
    <blip r:id="rId366"/>
  </webImageSrd>
  <webImageSrd>
    <address r:id="rId367"/>
    <blip r:id="rId368"/>
  </webImageSrd>
  <webImageSrd>
    <address r:id="rId369"/>
    <blip r:id="rId370"/>
  </webImageSrd>
  <webImageSrd>
    <address r:id="rId371"/>
    <blip r:id="rId372"/>
  </webImageSrd>
  <webImageSrd>
    <address r:id="rId373"/>
    <blip r:id="rId374"/>
  </webImageSrd>
  <webImageSrd>
    <address r:id="rId375"/>
    <blip r:id="rId376"/>
  </webImageSrd>
  <webImageSrd>
    <address r:id="rId377"/>
    <blip r:id="rId378"/>
  </webImageSrd>
  <webImageSrd>
    <address r:id="rId379"/>
    <blip r:id="rId380"/>
  </webImageSrd>
  <webImageSrd>
    <address r:id="rId381"/>
    <blip r:id="rId382"/>
  </webImageSrd>
  <webImageSrd>
    <address r:id="rId383"/>
    <blip r:id="rId384"/>
  </webImageSrd>
  <webImageSrd>
    <address r:id="rId385"/>
    <blip r:id="rId386"/>
  </webImageSrd>
  <webImageSrd>
    <address r:id="rId387"/>
    <blip r:id="rId388"/>
  </webImageSrd>
  <webImageSrd>
    <address r:id="rId389"/>
    <blip r:id="rId390"/>
  </webImageSrd>
  <webImageSrd>
    <address r:id="rId391"/>
    <blip r:id="rId392"/>
  </webImageSrd>
  <webImageSrd>
    <address r:id="rId393"/>
    <blip r:id="rId394"/>
  </webImageSrd>
  <webImageSrd>
    <address r:id="rId395"/>
    <blip r:id="rId396"/>
  </webImageSrd>
  <webImageSrd>
    <address r:id="rId397"/>
    <blip r:id="rId398"/>
  </webImageSrd>
  <webImageSrd>
    <address r:id="rId399"/>
    <blip r:id="rId400"/>
  </webImageSrd>
  <webImageSrd>
    <address r:id="rId401"/>
    <blip r:id="rId402"/>
  </webImageSrd>
  <webImageSrd>
    <address r:id="rId403"/>
    <blip r:id="rId404"/>
  </webImageSrd>
  <webImageSrd>
    <address r:id="rId405"/>
    <blip r:id="rId406"/>
  </webImageSrd>
  <webImageSrd>
    <address r:id="rId407"/>
    <blip r:id="rId408"/>
  </webImageSrd>
  <webImageSrd>
    <address r:id="rId409"/>
    <blip r:id="rId410"/>
  </webImageSrd>
  <webImageSrd>
    <address r:id="rId411"/>
    <blip r:id="rId412"/>
  </webImageSrd>
  <webImageSrd>
    <address r:id="rId413"/>
    <blip r:id="rId414"/>
  </webImageSrd>
  <webImageSrd>
    <address r:id="rId415"/>
    <blip r:id="rId416"/>
  </webImageSrd>
  <webImageSrd>
    <address r:id="rId417"/>
    <blip r:id="rId418"/>
  </webImageSrd>
  <webImageSrd>
    <address r:id="rId419"/>
    <blip r:id="rId420"/>
  </webImageSrd>
  <webImageSrd>
    <address r:id="rId421"/>
    <blip r:id="rId422"/>
  </webImageSrd>
  <webImageSrd>
    <address r:id="rId423"/>
    <blip r:id="rId424"/>
  </webImageSrd>
  <webImageSrd>
    <address r:id="rId425"/>
    <blip r:id="rId426"/>
  </webImageSrd>
  <webImageSrd>
    <address r:id="rId427"/>
    <blip r:id="rId428"/>
  </webImageSrd>
  <webImageSrd>
    <address r:id="rId429"/>
    <blip r:id="rId430"/>
  </webImageSrd>
  <webImageSrd>
    <address r:id="rId431"/>
    <blip r:id="rId432"/>
  </webImageSrd>
  <webImageSrd>
    <address r:id="rId433"/>
    <blip r:id="rId434"/>
  </webImageSrd>
  <webImageSrd>
    <address r:id="rId435"/>
    <blip r:id="rId436"/>
  </webImageSrd>
  <webImageSrd>
    <address r:id="rId437"/>
    <blip r:id="rId438"/>
  </webImageSrd>
  <webImageSrd>
    <address r:id="rId439"/>
    <blip r:id="rId440"/>
  </webImageSrd>
  <webImageSrd>
    <address r:id="rId441"/>
    <blip r:id="rId442"/>
  </webImageSrd>
  <webImageSrd>
    <address r:id="rId443"/>
    <blip r:id="rId444"/>
  </webImageSrd>
  <webImageSrd>
    <address r:id="rId445"/>
    <blip r:id="rId446"/>
  </webImageSrd>
  <webImageSrd>
    <address r:id="rId447"/>
    <blip r:id="rId448"/>
  </webImageSrd>
  <webImageSrd>
    <address r:id="rId449"/>
    <blip r:id="rId450"/>
  </webImageSrd>
  <webImageSrd>
    <address r:id="rId451"/>
    <blip r:id="rId452"/>
  </webImageSrd>
  <webImageSrd>
    <address r:id="rId453"/>
    <blip r:id="rId454"/>
  </webImageSrd>
  <webImageSrd>
    <address r:id="rId455"/>
    <blip r:id="rId456"/>
  </webImageSrd>
  <webImageSrd>
    <address r:id="rId457"/>
    <blip r:id="rId458"/>
  </webImageSrd>
  <webImageSrd>
    <address r:id="rId459"/>
    <blip r:id="rId460"/>
  </webImageSrd>
  <webImageSrd>
    <address r:id="rId461"/>
    <blip r:id="rId462"/>
  </webImageSrd>
  <webImageSrd>
    <address r:id="rId463"/>
    <blip r:id="rId464"/>
  </webImageSrd>
  <webImageSrd>
    <address r:id="rId465"/>
    <blip r:id="rId466"/>
  </webImageSrd>
  <webImageSrd>
    <address r:id="rId467"/>
    <blip r:id="rId468"/>
  </webImageSrd>
  <webImageSrd>
    <address r:id="rId469"/>
    <blip r:id="rId470"/>
  </webImageSrd>
  <webImageSrd>
    <address r:id="rId471"/>
    <blip r:id="rId472"/>
  </webImageSrd>
  <webImageSrd>
    <address r:id="rId473"/>
    <blip r:id="rId474"/>
  </webImageSrd>
  <webImageSrd>
    <address r:id="rId475"/>
    <blip r:id="rId476"/>
  </webImageSrd>
  <webImageSrd>
    <address r:id="rId477"/>
    <blip r:id="rId478"/>
  </webImageSrd>
  <webImageSrd>
    <address r:id="rId479"/>
    <blip r:id="rId480"/>
  </webImageSrd>
  <webImageSrd>
    <address r:id="rId481"/>
    <blip r:id="rId482"/>
  </webImageSrd>
  <webImageSrd>
    <address r:id="rId483"/>
    <blip r:id="rId472"/>
  </webImageSrd>
  <webImageSrd>
    <address r:id="rId484"/>
    <blip r:id="rId485"/>
  </webImageSrd>
  <webImageSrd>
    <address r:id="rId486"/>
    <blip r:id="rId487"/>
  </webImageSrd>
  <webImageSrd>
    <address r:id="rId488"/>
    <blip r:id="rId489"/>
  </webImageSrd>
  <webImageSrd>
    <address r:id="rId490"/>
    <blip r:id="rId491"/>
  </webImageSrd>
  <webImageSrd>
    <address r:id="rId492"/>
    <blip r:id="rId493"/>
  </webImageSrd>
  <webImageSrd>
    <address r:id="rId494"/>
    <blip r:id="rId472"/>
  </webImageSrd>
  <webImageSrd>
    <address r:id="rId495"/>
    <blip r:id="rId496"/>
  </webImageSrd>
  <webImageSrd>
    <address r:id="rId497"/>
    <blip r:id="rId498"/>
  </webImageSrd>
  <webImageSrd>
    <address r:id="rId499"/>
    <blip r:id="rId500"/>
  </webImageSrd>
  <webImageSrd>
    <address r:id="rId501"/>
    <blip r:id="rId502"/>
  </webImageSrd>
  <webImageSrd>
    <address r:id="rId503"/>
    <blip r:id="rId504"/>
  </webImageSrd>
  <webImageSrd>
    <address r:id="rId505"/>
    <blip r:id="rId472"/>
  </webImageSrd>
  <webImageSrd>
    <address r:id="rId506"/>
    <blip r:id="rId507"/>
  </webImageSrd>
  <webImageSrd>
    <address r:id="rId508"/>
    <blip r:id="rId509"/>
  </webImageSrd>
  <webImageSrd>
    <address r:id="rId510"/>
    <blip r:id="rId511"/>
  </webImageSrd>
  <webImageSrd>
    <address r:id="rId512"/>
    <blip r:id="rId513"/>
  </webImageSrd>
  <webImageSrd>
    <address r:id="rId514"/>
    <blip r:id="rId515"/>
  </webImageSrd>
  <webImageSrd>
    <address r:id="rId516"/>
    <blip r:id="rId517"/>
  </webImageSrd>
  <webImageSrd>
    <address r:id="rId518"/>
    <blip r:id="rId472"/>
  </webImageSrd>
  <webImageSrd>
    <address r:id="rId519"/>
    <blip r:id="rId520"/>
  </webImageSrd>
  <webImageSrd>
    <address r:id="rId521"/>
    <blip r:id="rId522"/>
  </webImageSrd>
  <webImageSrd>
    <address r:id="rId523"/>
    <blip r:id="rId524"/>
  </webImageSrd>
  <webImageSrd>
    <address r:id="rId525"/>
    <blip r:id="rId526"/>
  </webImageSrd>
  <webImageSrd>
    <address r:id="rId527"/>
    <blip r:id="rId472"/>
  </webImageSrd>
  <webImageSrd>
    <address r:id="rId528"/>
    <blip r:id="rId529"/>
  </webImageSrd>
  <webImageSrd>
    <address r:id="rId530"/>
    <blip r:id="rId531"/>
  </webImageSrd>
  <webImageSrd>
    <address r:id="rId532"/>
    <blip r:id="rId533"/>
  </webImageSrd>
  <webImageSrd>
    <address r:id="rId534"/>
    <blip r:id="rId535"/>
  </webImageSrd>
  <webImageSrd>
    <address r:id="rId536"/>
    <blip r:id="rId472"/>
  </webImageSrd>
  <webImageSrd>
    <address r:id="rId537"/>
    <blip r:id="rId538"/>
  </webImageSrd>
  <webImageSrd>
    <address r:id="rId539"/>
    <blip r:id="rId540"/>
  </webImageSrd>
  <webImageSrd>
    <address r:id="rId541"/>
    <blip r:id="rId542"/>
  </webImageSrd>
  <webImageSrd>
    <address r:id="rId543"/>
    <blip r:id="rId544"/>
  </webImageSrd>
  <webImageSrd>
    <address r:id="rId545"/>
    <blip r:id="rId546"/>
  </webImageSrd>
  <webImageSrd>
    <address r:id="rId547"/>
    <blip r:id="rId548"/>
  </webImageSrd>
  <webImageSrd>
    <address r:id="rId549"/>
    <blip r:id="rId550"/>
  </webImageSrd>
  <webImageSrd>
    <address r:id="rId551"/>
    <blip r:id="rId552"/>
  </webImageSrd>
  <webImageSrd>
    <address r:id="rId553"/>
    <blip r:id="rId554"/>
  </webImageSrd>
  <webImageSrd>
    <address r:id="rId555"/>
    <blip r:id="rId556"/>
  </webImageSrd>
  <webImageSrd>
    <address r:id="rId557"/>
    <blip r:id="rId558"/>
  </webImageSrd>
  <webImageSrd>
    <address r:id="rId559"/>
    <blip r:id="rId560"/>
  </webImageSrd>
  <webImageSrd>
    <address r:id="rId561"/>
    <blip r:id="rId562"/>
  </webImageSrd>
  <webImageSrd>
    <address r:id="rId563"/>
    <blip r:id="rId564"/>
  </webImageSrd>
  <webImageSrd>
    <address r:id="rId565"/>
    <blip r:id="rId566"/>
  </webImageSrd>
  <webImageSrd>
    <address r:id="rId567"/>
    <blip r:id="rId568"/>
  </webImageSrd>
  <webImageSrd>
    <address r:id="rId569"/>
    <blip r:id="rId570"/>
  </webImageSrd>
  <webImageSrd>
    <address r:id="rId571"/>
    <blip r:id="rId572"/>
  </webImageSrd>
  <webImageSrd>
    <address r:id="rId573"/>
    <blip r:id="rId574"/>
  </webImageSrd>
  <webImageSrd>
    <address r:id="rId575"/>
    <blip r:id="rId576"/>
  </webImageSrd>
  <webImageSrd>
    <address r:id="rId577"/>
    <blip r:id="rId578"/>
  </webImageSrd>
  <webImageSrd>
    <address r:id="rId579"/>
    <blip r:id="rId580"/>
  </webImageSrd>
  <webImageSrd>
    <address r:id="rId581"/>
    <blip r:id="rId582"/>
  </webImageSrd>
  <webImageSrd>
    <address r:id="rId583"/>
    <blip r:id="rId584"/>
  </webImageSrd>
  <webImageSrd>
    <address r:id="rId585"/>
    <blip r:id="rId586"/>
  </webImageSrd>
  <webImageSrd>
    <address r:id="rId587"/>
    <blip r:id="rId588"/>
  </webImageSrd>
  <webImageSrd>
    <address r:id="rId589"/>
    <blip r:id="rId590"/>
  </webImageSrd>
  <webImageSrd>
    <address r:id="rId591"/>
    <blip r:id="rId592"/>
  </webImageSrd>
  <webImageSrd>
    <address r:id="rId593"/>
    <blip r:id="rId594"/>
  </webImageSrd>
  <webImageSrd>
    <address r:id="rId595"/>
    <blip r:id="rId596"/>
  </webImageSrd>
  <webImageSrd>
    <address r:id="rId597"/>
    <blip r:id="rId598"/>
  </webImageSrd>
  <webImageSrd>
    <address r:id="rId599"/>
    <blip r:id="rId600"/>
  </webImageSrd>
  <webImageSrd>
    <address r:id="rId601"/>
    <blip r:id="rId602"/>
  </webImageSrd>
  <webImageSrd>
    <address r:id="rId603"/>
    <blip r:id="rId604"/>
  </webImageSrd>
  <webImageSrd>
    <address r:id="rId605"/>
    <blip r:id="rId606"/>
  </webImageSrd>
  <webImageSrd>
    <address r:id="rId607"/>
    <blip r:id="rId608"/>
  </webImageSrd>
  <webImageSrd>
    <address r:id="rId609"/>
    <blip r:id="rId610"/>
  </webImageSrd>
  <webImageSrd>
    <address r:id="rId611"/>
    <blip r:id="rId612"/>
  </webImageSrd>
  <webImageSrd>
    <address r:id="rId613"/>
    <blip r:id="rId614"/>
  </webImageSrd>
  <webImageSrd>
    <address r:id="rId615"/>
    <blip r:id="rId616"/>
  </webImageSrd>
  <webImageSrd>
    <address r:id="rId617"/>
    <blip r:id="rId618"/>
  </webImageSrd>
  <webImageSrd>
    <address r:id="rId619"/>
    <blip r:id="rId620"/>
  </webImageSrd>
  <webImageSrd>
    <address r:id="rId621"/>
    <blip r:id="rId622"/>
  </webImageSrd>
  <webImageSrd>
    <address r:id="rId623"/>
    <blip r:id="rId624"/>
  </webImageSrd>
  <webImageSrd>
    <address r:id="rId625"/>
    <blip r:id="rId626"/>
  </webImageSrd>
  <webImageSrd>
    <address r:id="rId627"/>
    <blip r:id="rId628"/>
  </webImageSrd>
  <webImageSrd>
    <address r:id="rId629"/>
    <blip r:id="rId630"/>
  </webImageSrd>
  <webImageSrd>
    <address r:id="rId631"/>
    <blip r:id="rId632"/>
  </webImageSrd>
  <webImageSrd>
    <address r:id="rId633"/>
    <blip r:id="rId634"/>
  </webImageSrd>
  <webImageSrd>
    <address r:id="rId635"/>
    <blip r:id="rId636"/>
  </webImageSrd>
  <webImageSrd>
    <address r:id="rId637"/>
    <blip r:id="rId638"/>
  </webImageSrd>
  <webImageSrd>
    <address r:id="rId639"/>
    <blip r:id="rId640"/>
  </webImageSrd>
  <webImageSrd>
    <address r:id="rId641"/>
    <blip r:id="rId642"/>
  </webImageSrd>
  <webImageSrd>
    <address r:id="rId643"/>
    <blip r:id="rId644"/>
  </webImageSrd>
  <webImageSrd>
    <address r:id="rId645"/>
    <blip r:id="rId646"/>
  </webImageSrd>
  <webImageSrd>
    <address r:id="rId647"/>
    <blip r:id="rId648"/>
  </webImageSrd>
  <webImageSrd>
    <address r:id="rId649"/>
    <blip r:id="rId650"/>
  </webImageSrd>
  <webImageSrd>
    <address r:id="rId651"/>
    <blip r:id="rId652"/>
  </webImageSrd>
  <webImageSrd>
    <address r:id="rId653"/>
    <blip r:id="rId654"/>
  </webImageSrd>
  <webImageSrd>
    <address r:id="rId655"/>
    <blip r:id="rId656"/>
  </webImageSrd>
  <webImageSrd>
    <address r:id="rId657"/>
    <blip r:id="rId658"/>
  </webImageSrd>
  <webImageSrd>
    <address r:id="rId659"/>
    <blip r:id="rId660"/>
  </webImageSrd>
  <webImageSrd>
    <address r:id="rId661"/>
    <blip r:id="rId662"/>
  </webImageSrd>
  <webImageSrd>
    <address r:id="rId663"/>
    <blip r:id="rId664"/>
  </webImageSrd>
  <webImageSrd>
    <address r:id="rId665"/>
    <blip r:id="rId666"/>
  </webImageSrd>
  <webImageSrd>
    <address r:id="rId667"/>
    <blip r:id="rId668"/>
  </webImageSrd>
  <webImageSrd>
    <address r:id="rId669"/>
    <blip r:id="rId670"/>
  </webImageSrd>
  <webImageSrd>
    <address r:id="rId671"/>
    <blip r:id="rId672"/>
  </webImageSrd>
  <webImageSrd>
    <address r:id="rId673"/>
    <blip r:id="rId674"/>
  </webImageSrd>
  <webImageSrd>
    <address r:id="rId675"/>
    <blip r:id="rId676"/>
  </webImageSrd>
  <webImageSrd>
    <address r:id="rId677"/>
    <blip r:id="rId678"/>
  </webImageSrd>
  <webImageSrd>
    <address r:id="rId679"/>
    <blip r:id="rId680"/>
  </webImageSrd>
  <webImageSrd>
    <address r:id="rId681"/>
    <blip r:id="rId682"/>
  </webImageSrd>
  <webImageSrd>
    <address r:id="rId683"/>
    <blip r:id="rId684"/>
  </webImageSrd>
  <webImageSrd>
    <address r:id="rId685"/>
    <blip r:id="rId686"/>
  </webImageSrd>
  <webImageSrd>
    <address r:id="rId687"/>
    <blip r:id="rId688"/>
  </webImageSrd>
  <webImageSrd>
    <address r:id="rId689"/>
    <blip r:id="rId690"/>
  </webImageSrd>
  <webImageSrd>
    <address r:id="rId691"/>
    <blip r:id="rId692"/>
  </webImageSrd>
  <webImageSrd>
    <address r:id="rId693"/>
    <blip r:id="rId694"/>
  </webImageSrd>
  <webImageSrd>
    <address r:id="rId695"/>
    <blip r:id="rId696"/>
  </webImageSrd>
  <webImageSrd>
    <address r:id="rId697"/>
    <blip r:id="rId698"/>
  </webImageSrd>
  <webImageSrd>
    <address r:id="rId699"/>
    <blip r:id="rId700"/>
  </webImageSrd>
  <webImageSrd>
    <address r:id="rId701"/>
    <blip r:id="rId702"/>
  </webImageSrd>
  <webImageSrd>
    <address r:id="rId703"/>
    <blip r:id="rId704"/>
  </webImageSrd>
  <webImageSrd>
    <address r:id="rId705"/>
    <blip r:id="rId706"/>
  </webImageSrd>
  <webImageSrd>
    <address r:id="rId707"/>
    <blip r:id="rId708"/>
  </webImageSrd>
  <webImageSrd>
    <address r:id="rId709"/>
    <blip r:id="rId710"/>
  </webImageSrd>
  <webImageSrd>
    <address r:id="rId711"/>
    <blip r:id="rId712"/>
  </webImageSrd>
  <webImageSrd>
    <address r:id="rId713"/>
    <blip r:id="rId714"/>
  </webImageSrd>
  <webImageSrd>
    <address r:id="rId715"/>
    <blip r:id="rId716"/>
  </webImageSrd>
  <webImageSrd>
    <address r:id="rId717"/>
    <blip r:id="rId718"/>
  </webImageSrd>
  <webImageSrd>
    <address r:id="rId719"/>
    <blip r:id="rId720"/>
  </webImageSrd>
  <webImageSrd>
    <address r:id="rId721"/>
    <blip r:id="rId722"/>
  </webImageSrd>
  <webImageSrd>
    <address r:id="rId723"/>
    <blip r:id="rId724"/>
  </webImageSrd>
  <webImageSrd>
    <address r:id="rId725"/>
    <blip r:id="rId726"/>
  </webImageSrd>
  <webImageSrd>
    <address r:id="rId727"/>
    <blip r:id="rId728"/>
  </webImageSrd>
  <webImageSrd>
    <address r:id="rId729"/>
    <blip r:id="rId730"/>
  </webImageSrd>
  <webImageSrd>
    <address r:id="rId731"/>
    <blip r:id="rId732"/>
  </webImageSrd>
  <webImageSrd>
    <address r:id="rId733"/>
    <blip r:id="rId734"/>
  </webImageSrd>
  <webImageSrd>
    <address r:id="rId735"/>
    <blip r:id="rId736"/>
  </webImageSrd>
  <webImageSrd>
    <address r:id="rId737"/>
    <blip r:id="rId738"/>
  </webImageSrd>
  <webImageSrd>
    <address r:id="rId739"/>
    <blip r:id="rId740"/>
  </webImageSrd>
  <webImageSrd>
    <address r:id="rId741"/>
    <blip r:id="rId742"/>
  </webImageSrd>
  <webImageSrd>
    <address r:id="rId743"/>
    <blip r:id="rId744"/>
  </webImageSrd>
  <webImageSrd>
    <address r:id="rId745"/>
    <blip r:id="rId746"/>
  </webImageSrd>
  <webImageSrd>
    <address r:id="rId747"/>
    <blip r:id="rId748"/>
  </webImageSrd>
  <webImageSrd>
    <address r:id="rId749"/>
    <blip r:id="rId750"/>
  </webImageSrd>
  <webImageSrd>
    <address r:id="rId751"/>
    <blip r:id="rId752"/>
  </webImageSrd>
  <webImageSrd>
    <address r:id="rId753"/>
    <blip r:id="rId754"/>
  </webImageSrd>
  <webImageSrd>
    <address r:id="rId755"/>
    <blip r:id="rId756"/>
  </webImageSrd>
  <webImageSrd>
    <address r:id="rId757"/>
    <blip r:id="rId758"/>
  </webImageSrd>
  <webImageSrd>
    <address r:id="rId759"/>
    <blip r:id="rId760"/>
  </webImageSrd>
  <webImageSrd>
    <address r:id="rId761"/>
    <blip r:id="rId762"/>
  </webImageSrd>
  <webImageSrd>
    <address r:id="rId763"/>
    <blip r:id="rId764"/>
  </webImageSrd>
  <webImageSrd>
    <address r:id="rId765"/>
    <blip r:id="rId766"/>
  </webImageSrd>
  <webImageSrd>
    <address r:id="rId767"/>
    <blip r:id="rId768"/>
  </webImageSrd>
  <webImageSrd>
    <address r:id="rId769"/>
    <blip r:id="rId770"/>
  </webImageSrd>
  <webImageSrd>
    <address r:id="rId771"/>
    <blip r:id="rId772"/>
  </webImageSrd>
  <webImageSrd>
    <address r:id="rId773"/>
    <blip r:id="rId774"/>
  </webImageSrd>
  <webImageSrd>
    <address r:id="rId775"/>
    <blip r:id="rId776"/>
  </webImageSrd>
  <webImageSrd>
    <address r:id="rId777"/>
    <blip r:id="rId778"/>
  </webImageSrd>
  <webImageSrd>
    <address r:id="rId779"/>
    <blip r:id="rId780"/>
  </webImageSrd>
  <webImageSrd>
    <address r:id="rId781"/>
    <blip r:id="rId782"/>
  </webImageSrd>
  <webImageSrd>
    <address r:id="rId783"/>
    <blip r:id="rId784"/>
  </webImageSrd>
  <webImageSrd>
    <address r:id="rId785"/>
    <blip r:id="rId786"/>
  </webImageSrd>
  <webImageSrd>
    <address r:id="rId787"/>
    <blip r:id="rId788"/>
  </webImageSrd>
  <webImageSrd>
    <address r:id="rId789"/>
    <blip r:id="rId790"/>
  </webImageSrd>
  <webImageSrd>
    <address r:id="rId791"/>
    <blip r:id="rId792"/>
  </webImageSrd>
  <webImageSrd>
    <address r:id="rId793"/>
    <blip r:id="rId794"/>
  </webImageSrd>
  <webImageSrd>
    <address r:id="rId795"/>
    <blip r:id="rId796"/>
  </webImageSrd>
  <webImageSrd>
    <address r:id="rId797"/>
    <blip r:id="rId798"/>
  </webImageSrd>
  <webImageSrd>
    <address r:id="rId799"/>
    <blip r:id="rId800"/>
  </webImageSrd>
  <webImageSrd>
    <address r:id="rId801"/>
    <blip r:id="rId802"/>
  </webImageSrd>
  <webImageSrd>
    <address r:id="rId803"/>
    <blip r:id="rId804"/>
  </webImageSrd>
  <webImageSrd>
    <address r:id="rId805"/>
    <blip r:id="rId806"/>
  </webImageSrd>
  <webImageSrd>
    <address r:id="rId807"/>
    <blip r:id="rId808"/>
  </webImageSrd>
  <webImageSrd>
    <address r:id="rId809"/>
    <blip r:id="rId810"/>
  </webImageSrd>
  <webImageSrd>
    <address r:id="rId811"/>
    <blip r:id="rId812"/>
  </webImageSrd>
  <webImageSrd>
    <address r:id="rId813"/>
    <blip r:id="rId814"/>
  </webImageSrd>
  <webImageSrd>
    <address r:id="rId815"/>
    <blip r:id="rId816"/>
  </webImageSrd>
  <webImageSrd>
    <address r:id="rId817"/>
    <blip r:id="rId818"/>
  </webImageSrd>
  <webImageSrd>
    <address r:id="rId819"/>
    <blip r:id="rId820"/>
  </webImageSrd>
  <webImageSrd>
    <address r:id="rId821"/>
    <blip r:id="rId822"/>
  </webImageSrd>
  <webImageSrd>
    <address r:id="rId823"/>
    <blip r:id="rId824"/>
  </webImageSrd>
  <webImageSrd>
    <address r:id="rId825"/>
    <blip r:id="rId826"/>
  </webImageSrd>
  <webImageSrd>
    <address r:id="rId827"/>
    <blip r:id="rId828"/>
  </webImageSrd>
  <webImageSrd>
    <address r:id="rId829"/>
    <blip r:id="rId830"/>
  </webImageSrd>
  <webImageSrd>
    <address r:id="rId831"/>
    <blip r:id="rId832"/>
  </webImageSrd>
  <webImageSrd>
    <address r:id="rId833"/>
    <blip r:id="rId834"/>
  </webImageSrd>
  <webImageSrd>
    <address r:id="rId835"/>
    <blip r:id="rId836"/>
  </webImageSrd>
  <webImageSrd>
    <address r:id="rId837"/>
    <blip r:id="rId838"/>
  </webImageSrd>
  <webImageSrd>
    <address r:id="rId839"/>
    <blip r:id="rId840"/>
  </webImageSrd>
  <webImageSrd>
    <address r:id="rId841"/>
    <blip r:id="rId842"/>
  </webImageSrd>
  <webImageSrd>
    <address r:id="rId843"/>
    <blip r:id="rId844"/>
  </webImageSrd>
  <webImageSrd>
    <address r:id="rId845"/>
    <blip r:id="rId846"/>
  </webImageSrd>
  <webImageSrd>
    <address r:id="rId847"/>
    <blip r:id="rId848"/>
  </webImageSrd>
  <webImageSrd>
    <address r:id="rId849"/>
    <blip r:id="rId850"/>
  </webImageSrd>
  <webImageSrd>
    <address r:id="rId851"/>
    <blip r:id="rId852"/>
  </webImageSrd>
  <webImageSrd>
    <address r:id="rId853"/>
    <blip r:id="rId854"/>
  </webImageSrd>
  <webImageSrd>
    <address r:id="rId855"/>
    <blip r:id="rId856"/>
  </webImageSrd>
  <webImageSrd>
    <address r:id="rId857"/>
    <blip r:id="rId858"/>
  </webImageSrd>
  <webImageSrd>
    <address r:id="rId859"/>
    <blip r:id="rId860"/>
  </webImageSrd>
  <webImageSrd>
    <address r:id="rId861"/>
    <blip r:id="rId862"/>
  </webImageSrd>
  <webImageSrd>
    <address r:id="rId863"/>
    <blip r:id="rId864"/>
  </webImageSrd>
  <webImageSrd>
    <address r:id="rId865"/>
    <blip r:id="rId866"/>
  </webImageSrd>
  <webImageSrd>
    <address r:id="rId867"/>
    <blip r:id="rId868"/>
  </webImageSrd>
  <webImageSrd>
    <address r:id="rId869"/>
    <blip r:id="rId870"/>
  </webImageSrd>
  <webImageSrd>
    <address r:id="rId871"/>
    <blip r:id="rId872"/>
  </webImageSrd>
  <webImageSrd>
    <address r:id="rId873"/>
    <blip r:id="rId874"/>
  </webImageSrd>
  <webImageSrd>
    <address r:id="rId875"/>
    <blip r:id="rId876"/>
  </webImageSrd>
  <webImageSrd>
    <address r:id="rId877"/>
    <blip r:id="rId878"/>
  </webImageSrd>
  <webImageSrd>
    <address r:id="rId879"/>
    <blip r:id="rId880"/>
  </webImageSrd>
  <webImageSrd>
    <address r:id="rId881"/>
    <blip r:id="rId882"/>
  </webImageSrd>
  <webImageSrd>
    <address r:id="rId883"/>
    <blip r:id="rId884"/>
  </webImageSrd>
  <webImageSrd>
    <address r:id="rId885"/>
    <blip r:id="rId886"/>
  </webImageSrd>
  <webImageSrd>
    <address r:id="rId887"/>
    <blip r:id="rId888"/>
  </webImageSrd>
  <webImageSrd>
    <address r:id="rId889"/>
    <blip r:id="rId890"/>
  </webImageSrd>
  <webImageSrd>
    <address r:id="rId891"/>
    <blip r:id="rId892"/>
  </webImageSrd>
  <webImageSrd>
    <address r:id="rId893"/>
    <blip r:id="rId894"/>
  </webImageSrd>
  <webImageSrd>
    <address r:id="rId895"/>
    <blip r:id="rId896"/>
  </webImageSrd>
  <webImageSrd>
    <address r:id="rId897"/>
    <blip r:id="rId898"/>
  </webImageSrd>
  <webImageSrd>
    <address r:id="rId899"/>
    <blip r:id="rId900"/>
  </webImageSrd>
  <webImageSrd>
    <address r:id="rId901"/>
    <blip r:id="rId902"/>
  </webImageSrd>
  <webImageSrd>
    <address r:id="rId903"/>
    <blip r:id="rId904"/>
  </webImageSrd>
  <webImageSrd>
    <address r:id="rId905"/>
    <blip r:id="rId906"/>
  </webImageSrd>
  <webImageSrd>
    <address r:id="rId907"/>
    <blip r:id="rId908"/>
  </webImageSrd>
  <webImageSrd>
    <address r:id="rId909"/>
    <blip r:id="rId910"/>
  </webImageSrd>
  <webImageSrd>
    <address r:id="rId911"/>
    <blip r:id="rId912"/>
  </webImageSrd>
  <webImageSrd>
    <address r:id="rId913"/>
    <blip r:id="rId914"/>
  </webImageSrd>
  <webImageSrd>
    <address r:id="rId915"/>
    <blip r:id="rId916"/>
  </webImageSrd>
  <webImageSrd>
    <address r:id="rId917"/>
    <blip r:id="rId918"/>
  </webImageSrd>
  <webImageSrd>
    <address r:id="rId919"/>
    <blip r:id="rId920"/>
  </webImageSrd>
  <webImageSrd>
    <address r:id="rId921"/>
    <blip r:id="rId922"/>
  </webImageSrd>
  <webImageSrd>
    <address r:id="rId923"/>
    <blip r:id="rId924"/>
  </webImageSrd>
  <webImageSrd>
    <address r:id="rId925"/>
    <blip r:id="rId926"/>
  </webImageSrd>
  <webImageSrd>
    <address r:id="rId927"/>
    <blip r:id="rId928"/>
  </webImageSrd>
  <webImageSrd>
    <address r:id="rId929"/>
    <blip r:id="rId930"/>
  </webImageSrd>
  <webImageSrd>
    <address r:id="rId931"/>
    <blip r:id="rId932"/>
  </webImageSrd>
  <webImageSrd>
    <address r:id="rId933"/>
    <blip r:id="rId934"/>
  </webImageSrd>
  <webImageSrd>
    <address r:id="rId935"/>
    <blip r:id="rId936"/>
  </webImageSrd>
  <webImageSrd>
    <address r:id="rId937"/>
    <blip r:id="rId938"/>
  </webImageSrd>
  <webImageSrd>
    <address r:id="rId939"/>
    <blip r:id="rId940"/>
  </webImageSrd>
  <webImageSrd>
    <address r:id="rId941"/>
    <blip r:id="rId942"/>
  </webImageSrd>
  <webImageSrd>
    <address r:id="rId943"/>
    <blip r:id="rId944"/>
  </webImageSrd>
  <webImageSrd>
    <address r:id="rId945"/>
    <blip r:id="rId946"/>
  </webImageSrd>
  <webImageSrd>
    <address r:id="rId947"/>
    <blip r:id="rId948"/>
  </webImageSrd>
  <webImageSrd>
    <address r:id="rId949"/>
    <blip r:id="rId950"/>
  </webImageSrd>
  <webImageSrd>
    <address r:id="rId951"/>
    <blip r:id="rId952"/>
  </webImageSrd>
  <webImageSrd>
    <address r:id="rId953"/>
    <blip r:id="rId954"/>
  </webImageSrd>
  <webImageSrd>
    <address r:id="rId955"/>
    <blip r:id="rId956"/>
  </webImageSrd>
  <webImageSrd>
    <address r:id="rId957"/>
    <blip r:id="rId958"/>
  </webImageSrd>
  <webImageSrd>
    <address r:id="rId959"/>
    <blip r:id="rId960"/>
  </webImageSrd>
  <webImageSrd>
    <address r:id="rId961"/>
    <blip r:id="rId962"/>
  </webImageSrd>
  <webImageSrd>
    <address r:id="rId963"/>
    <blip r:id="rId964"/>
  </webImageSrd>
  <webImageSrd>
    <address r:id="rId965"/>
    <blip r:id="rId966"/>
  </webImageSrd>
  <webImageSrd>
    <address r:id="rId967"/>
    <blip r:id="rId968"/>
  </webImageSrd>
  <webImageSrd>
    <address r:id="rId969"/>
    <blip r:id="rId970"/>
  </webImageSrd>
  <webImageSrd>
    <address r:id="rId971"/>
    <blip r:id="rId972"/>
  </webImageSrd>
  <webImageSrd>
    <address r:id="rId973"/>
    <blip r:id="rId974"/>
  </webImageSrd>
  <webImageSrd>
    <address r:id="rId975"/>
    <blip r:id="rId976"/>
  </webImageSrd>
  <webImageSrd>
    <address r:id="rId977"/>
    <blip r:id="rId978"/>
  </webImageSrd>
  <webImageSrd>
    <address r:id="rId979"/>
    <blip r:id="rId980"/>
  </webImageSrd>
  <webImageSrd>
    <address r:id="rId981"/>
    <blip r:id="rId982"/>
  </webImageSrd>
  <webImageSrd>
    <address r:id="rId983"/>
    <blip r:id="rId984"/>
  </webImageSrd>
  <webImageSrd>
    <address r:id="rId985"/>
    <blip r:id="rId986"/>
  </webImageSrd>
  <webImageSrd>
    <address r:id="rId987"/>
    <blip r:id="rId988"/>
  </webImageSrd>
  <webImageSrd>
    <address r:id="rId989"/>
    <blip r:id="rId990"/>
  </webImageSrd>
  <webImageSrd>
    <address r:id="rId991"/>
    <blip r:id="rId992"/>
  </webImageSrd>
  <webImageSrd>
    <address r:id="rId993"/>
    <blip r:id="rId994"/>
  </webImageSrd>
  <webImageSrd>
    <address r:id="rId995"/>
    <blip r:id="rId996"/>
  </webImageSrd>
  <webImageSrd>
    <address r:id="rId997"/>
    <blip r:id="rId998"/>
  </webImageSrd>
  <webImageSrd>
    <address r:id="rId999"/>
    <blip r:id="rId1000"/>
  </webImageSrd>
  <webImageSrd>
    <address r:id="rId1001"/>
    <blip r:id="rId1002"/>
  </webImageSrd>
  <webImageSrd>
    <address r:id="rId1003"/>
    <blip r:id="rId1004"/>
  </webImageSrd>
  <webImageSrd>
    <address r:id="rId1005"/>
    <blip r:id="rId1006"/>
  </webImageSrd>
  <webImageSrd>
    <address r:id="rId1007"/>
    <blip r:id="rId1008"/>
  </webImageSrd>
  <webImageSrd>
    <address r:id="rId1009"/>
    <blip r:id="rId1010"/>
  </webImageSrd>
  <webImageSrd>
    <address r:id="rId1011"/>
    <blip r:id="rId1012"/>
  </webImageSrd>
  <webImageSrd>
    <address r:id="rId1013"/>
    <blip r:id="rId1014"/>
  </webImageSrd>
  <webImageSrd>
    <address r:id="rId1015"/>
    <blip r:id="rId1016"/>
  </webImageSrd>
  <webImageSrd>
    <address r:id="rId1017"/>
    <blip r:id="rId1018"/>
  </webImageSrd>
  <webImageSrd>
    <address r:id="rId1019"/>
    <blip r:id="rId1020"/>
  </webImageSrd>
  <webImageSrd>
    <address r:id="rId1021"/>
    <blip r:id="rId1022"/>
  </webImageSrd>
  <webImageSrd>
    <address r:id="rId1023"/>
    <blip r:id="rId1024"/>
  </webImageSrd>
  <webImageSrd>
    <address r:id="rId1025"/>
    <blip r:id="rId1026"/>
  </webImageSrd>
  <webImageSrd>
    <address r:id="rId1027"/>
    <blip r:id="rId1028"/>
  </webImageSrd>
  <webImageSrd>
    <address r:id="rId1029"/>
    <blip r:id="rId1030"/>
  </webImageSrd>
  <webImageSrd>
    <address r:id="rId1031"/>
    <blip r:id="rId1032"/>
  </webImageSrd>
  <webImageSrd>
    <address r:id="rId1033"/>
    <blip r:id="rId1034"/>
  </webImageSrd>
  <webImageSrd>
    <address r:id="rId1035"/>
    <blip r:id="rId1036"/>
  </webImageSrd>
  <webImageSrd>
    <address r:id="rId1037"/>
    <blip r:id="rId1038"/>
  </webImageSrd>
  <webImageSrd>
    <address r:id="rId1039"/>
    <blip r:id="rId1040"/>
  </webImageSrd>
  <webImageSrd>
    <address r:id="rId1041"/>
    <blip r:id="rId1042"/>
  </webImageSrd>
  <webImageSrd>
    <address r:id="rId1043"/>
    <blip r:id="rId1044"/>
  </webImageSrd>
  <webImageSrd>
    <address r:id="rId1045"/>
    <blip r:id="rId1046"/>
  </webImageSrd>
  <webImageSrd>
    <address r:id="rId1047"/>
    <blip r:id="rId1048"/>
  </webImageSrd>
  <webImageSrd>
    <address r:id="rId1049"/>
    <blip r:id="rId1050"/>
  </webImageSrd>
  <webImageSrd>
    <address r:id="rId1051"/>
    <blip r:id="rId1052"/>
  </webImageSrd>
  <webImageSrd>
    <address r:id="rId1053"/>
    <blip r:id="rId1054"/>
  </webImageSrd>
  <webImageSrd>
    <address r:id="rId1055"/>
    <blip r:id="rId1056"/>
  </webImageSrd>
  <webImageSrd>
    <address r:id="rId1057"/>
    <blip r:id="rId1058"/>
  </webImageSrd>
  <webImageSrd>
    <address r:id="rId1059"/>
    <blip r:id="rId1060"/>
  </webImageSrd>
  <webImageSrd>
    <address r:id="rId1061"/>
    <blip r:id="rId1062"/>
  </webImageSrd>
  <webImageSrd>
    <address r:id="rId1063"/>
    <blip r:id="rId1064"/>
  </webImageSrd>
  <webImageSrd>
    <address r:id="rId1065"/>
    <blip r:id="rId1066"/>
  </webImageSrd>
  <webImageSrd>
    <address r:id="rId1067"/>
    <blip r:id="rId1068"/>
  </webImageSrd>
  <webImageSrd>
    <address r:id="rId1069"/>
    <blip r:id="rId1070"/>
  </webImageSrd>
  <webImageSrd>
    <address r:id="rId1071"/>
    <blip r:id="rId1072"/>
  </webImageSrd>
  <webImageSrd>
    <address r:id="rId1073"/>
    <blip r:id="rId1074"/>
  </webImageSrd>
  <webImageSrd>
    <address r:id="rId1075"/>
    <blip r:id="rId1076"/>
  </webImageSrd>
  <webImageSrd>
    <address r:id="rId1077"/>
    <blip r:id="rId1078"/>
  </webImageSrd>
  <webImageSrd>
    <address r:id="rId1079"/>
    <blip r:id="rId1080"/>
  </webImageSrd>
  <webImageSrd>
    <address r:id="rId1081"/>
    <blip r:id="rId1082"/>
  </webImageSrd>
  <webImageSrd>
    <address r:id="rId1083"/>
    <blip r:id="rId1084"/>
  </webImageSrd>
  <webImageSrd>
    <address r:id="rId1085"/>
    <blip r:id="rId1086"/>
  </webImageSrd>
  <webImageSrd>
    <address r:id="rId1087"/>
    <blip r:id="rId1088"/>
  </webImageSrd>
  <webImageSrd>
    <address r:id="rId1089"/>
    <blip r:id="rId1090"/>
  </webImageSrd>
  <webImageSrd>
    <address r:id="rId1091"/>
    <blip r:id="rId1092"/>
  </webImageSrd>
  <webImageSrd>
    <address r:id="rId1093"/>
    <blip r:id="rId1094"/>
  </webImageSrd>
  <webImageSrd>
    <address r:id="rId1095"/>
    <blip r:id="rId1096"/>
  </webImageSrd>
  <webImageSrd>
    <address r:id="rId1097"/>
    <blip r:id="rId1098"/>
  </webImageSrd>
  <webImageSrd>
    <address r:id="rId1099"/>
    <blip r:id="rId1100"/>
  </webImageSrd>
  <webImageSrd>
    <address r:id="rId1101"/>
    <blip r:id="rId1102"/>
  </webImageSrd>
  <webImageSrd>
    <address r:id="rId1103"/>
    <blip r:id="rId1104"/>
  </webImageSrd>
  <webImageSrd>
    <address r:id="rId1105"/>
    <blip r:id="rId1106"/>
  </webImageSrd>
  <webImageSrd>
    <address r:id="rId1107"/>
    <blip r:id="rId1108"/>
  </webImageSrd>
  <webImageSrd>
    <address r:id="rId1109"/>
    <blip r:id="rId1110"/>
  </webImageSrd>
  <webImageSrd>
    <address r:id="rId1111"/>
    <blip r:id="rId1112"/>
  </webImageSrd>
  <webImageSrd>
    <address r:id="rId1113"/>
    <blip r:id="rId1114"/>
  </webImageSrd>
  <webImageSrd>
    <address r:id="rId1115"/>
    <blip r:id="rId1116"/>
  </webImageSrd>
  <webImageSrd>
    <address r:id="rId1117"/>
    <blip r:id="rId1118"/>
  </webImageSrd>
  <webImageSrd>
    <address r:id="rId1119"/>
    <blip r:id="rId1120"/>
  </webImageSrd>
  <webImageSrd>
    <address r:id="rId1121"/>
    <blip r:id="rId1122"/>
  </webImageSrd>
  <webImageSrd>
    <address r:id="rId1123"/>
    <blip r:id="rId1124"/>
  </webImageSrd>
  <webImageSrd>
    <address r:id="rId1125"/>
    <blip r:id="rId1126"/>
  </webImageSrd>
</webImagesSrd>
</file>

<file path=xl/richData/rdrichvalue.xml><?xml version="1.0" encoding="utf-8"?>
<rvData xmlns="http://schemas.microsoft.com/office/spreadsheetml/2017/richdata" count="895">
  <rv s="0">
    <v>0</v>
    <v>5</v>
    <v>0</v>
    <v>0</v>
    <v>electro</v>
  </rv>
  <rv s="1">
    <v>11</v>
    <v>1</v>
  </rv>
  <rv s="2">
    <v>0</v>
    <v>1</v>
    <v>0</v>
    <v>0</v>
    <v>HerosWit</v>
  </rv>
  <rv s="2">
    <v>1</v>
    <v>1</v>
    <v>0</v>
    <v>0</v>
    <v>Albedo</v>
  </rv>
  <rv s="2">
    <v>2</v>
    <v>4</v>
    <v>0</v>
    <v>0</v>
    <v>sword</v>
  </rv>
  <rv s="2">
    <v>3</v>
    <v>4</v>
    <v>0</v>
    <v>0</v>
    <v>geo</v>
  </rv>
  <rv s="2">
    <v>4</v>
    <v>4</v>
    <v>0</v>
    <v>0</v>
    <v>BasaltPillar</v>
  </rv>
  <rv s="2">
    <v>5</v>
    <v>4</v>
    <v>0</v>
    <v>0</v>
    <v>TuskofMonocerosCaeli</v>
  </rv>
  <rv s="2">
    <v>6</v>
    <v>4</v>
    <v>0</v>
    <v>0</v>
    <v>PhilosophiesofBallad</v>
  </rv>
  <rv s="2">
    <v>7</v>
    <v>4</v>
    <v>0</v>
    <v>0</v>
    <v>ForbiddenCurseScroll</v>
  </rv>
  <rv s="2">
    <v>8</v>
    <v>4</v>
    <v>0</v>
    <v>0</v>
    <v>Cecilia</v>
  </rv>
  <rv s="2">
    <v>9</v>
    <v>4</v>
    <v>0</v>
    <v>0</v>
    <v>PrithivaTopazGemstone</v>
  </rv>
  <rv s="2">
    <v>10</v>
    <v>1</v>
    <v>0</v>
    <v>0</v>
    <v>HurricaneSeed</v>
  </rv>
  <rv s="2">
    <v>11</v>
    <v>1</v>
    <v>0</v>
    <v>0</v>
    <v>DvalinsPlume</v>
  </rv>
  <rv s="2">
    <v>12</v>
    <v>1</v>
    <v>0</v>
    <v>0</v>
    <v>OminousMask</v>
  </rv>
  <rv s="2">
    <v>13</v>
    <v>1</v>
    <v>0</v>
    <v>0</v>
    <v>StainedMask</v>
  </rv>
  <rv s="2">
    <v>14</v>
    <v>1</v>
    <v>0</v>
    <v>0</v>
    <v>DamagedMask</v>
  </rv>
  <rv s="2">
    <v>15</v>
    <v>1</v>
    <v>0</v>
    <v>0</v>
    <v>TeachingsofBallad</v>
  </rv>
  <rv s="2">
    <v>16</v>
    <v>1</v>
    <v>0</v>
    <v>0</v>
    <v>AmakumoFruit</v>
  </rv>
  <rv s="2">
    <v>17</v>
    <v>1</v>
    <v>0</v>
    <v>0</v>
    <v>BrilliantDiamondSilver</v>
  </rv>
  <rv s="2">
    <v>18</v>
    <v>1</v>
    <v>0</v>
    <v>0</v>
    <v>Mora</v>
  </rv>
  <rv s="2">
    <v>2</v>
    <v>1</v>
    <v>0</v>
    <v>0</v>
    <v>sword</v>
  </rv>
  <rv s="2">
    <v>19</v>
    <v>1</v>
    <v>0</v>
    <v>0</v>
    <v>anemo</v>
  </rv>
  <rv s="2">
    <v>20</v>
    <v>1</v>
    <v>0</v>
    <v>0</v>
    <v>Absolution</v>
  </rv>
  <rv s="2">
    <v>21</v>
    <v>1</v>
    <v>0</v>
    <v>0</v>
    <v>TileofDecarabiansTower</v>
  </rv>
  <rv s="2">
    <v>22</v>
    <v>1</v>
    <v>0</v>
    <v>0</v>
    <v>MysticEnhancementOre</v>
  </rv>
  <rv s="2">
    <v>23</v>
    <v>1</v>
    <v>0</v>
    <v>0</v>
    <v>Alhaitham</v>
  </rv>
  <rv s="2">
    <v>24</v>
    <v>4</v>
    <v>0</v>
    <v>0</v>
    <v>dendro</v>
  </rv>
  <rv s="2">
    <v>25</v>
    <v>4</v>
    <v>0</v>
    <v>0</v>
    <v>PseudoStamens</v>
  </rv>
  <rv s="2">
    <v>26</v>
    <v>4</v>
    <v>0</v>
    <v>0</v>
    <v>MirrorofMushin</v>
  </rv>
  <rv s="2">
    <v>27</v>
    <v>4</v>
    <v>0</v>
    <v>0</v>
    <v>PhilosophiesofIngenuity</v>
  </rv>
  <rv s="2">
    <v>28</v>
    <v>4</v>
    <v>0</v>
    <v>0</v>
    <v>RichRedBrocade</v>
  </rv>
  <rv s="2">
    <v>29</v>
    <v>4</v>
    <v>0</v>
    <v>0</v>
    <v>SandGreasePupa</v>
  </rv>
  <rv s="2">
    <v>30</v>
    <v>4</v>
    <v>0</v>
    <v>0</v>
    <v>NagadusEmeraldGemstone</v>
  </rv>
  <rv s="2">
    <v>31</v>
    <v>1</v>
    <v>0</v>
    <v>0</v>
    <v>HoarfrostCore</v>
  </rv>
  <rv s="2">
    <v>32</v>
    <v>1</v>
    <v>0</v>
    <v>0</v>
    <v>DvalinsClaw</v>
  </rv>
  <rv s="2">
    <v>33</v>
    <v>1</v>
    <v>0</v>
    <v>0</v>
    <v>WeatheredArrowhead</v>
  </rv>
  <rv s="2">
    <v>34</v>
    <v>1</v>
    <v>0</v>
    <v>0</v>
    <v>SharpArrowhead</v>
  </rv>
  <rv s="2">
    <v>35</v>
    <v>1</v>
    <v>0</v>
    <v>0</v>
    <v>FirmArrowhead</v>
  </rv>
  <rv s="2">
    <v>36</v>
    <v>1</v>
    <v>0</v>
    <v>0</v>
    <v>GuidetoBallad</v>
  </rv>
  <rv s="2">
    <v>37</v>
    <v>1</v>
    <v>0</v>
    <v>0</v>
    <v>BerylConch</v>
  </rv>
  <rv s="2">
    <v>38</v>
    <v>1</v>
    <v>0</v>
    <v>0</v>
    <v>BrilliantDiamondFragment</v>
  </rv>
  <rv s="2">
    <v>39</v>
    <v>1</v>
    <v>0</v>
    <v>0</v>
    <v>CrownofInsight</v>
  </rv>
  <rv s="2">
    <v>40</v>
    <v>1</v>
    <v>0</v>
    <v>0</v>
    <v>claymore</v>
  </rv>
  <rv s="2">
    <v>3</v>
    <v>1</v>
    <v>0</v>
    <v>0</v>
    <v>geo</v>
  </rv>
  <rv s="2">
    <v>41</v>
    <v>1</v>
    <v>0</v>
    <v>0</v>
    <v>Akuoumaru</v>
  </rv>
  <rv s="2">
    <v>42</v>
    <v>1</v>
    <v>0</v>
    <v>0</v>
    <v>DebrisofDecarabiansCity</v>
  </rv>
  <rv s="2">
    <v>43</v>
    <v>1</v>
    <v>0</v>
    <v>0</v>
    <v>FineEnhancementOre</v>
  </rv>
  <rv s="2">
    <v>44</v>
    <v>1</v>
    <v>0</v>
    <v>0</v>
    <v>Bennett</v>
  </rv>
  <rv s="2">
    <v>45</v>
    <v>4</v>
    <v>0</v>
    <v>0</v>
    <v>pyro</v>
  </rv>
  <rv s="2">
    <v>46</v>
    <v>4</v>
    <v>0</v>
    <v>0</v>
    <v>EverflameSeed</v>
  </rv>
  <rv s="2">
    <v>11</v>
    <v>4</v>
    <v>0</v>
    <v>0</v>
    <v>DvalinsPlume</v>
  </rv>
  <rv s="2">
    <v>47</v>
    <v>4</v>
    <v>0</v>
    <v>0</v>
    <v>PhilosophiesofResistance</v>
  </rv>
  <rv s="2">
    <v>48</v>
    <v>4</v>
    <v>0</v>
    <v>0</v>
    <v>GoldenRavenInsignia</v>
  </rv>
  <rv s="2">
    <v>49</v>
    <v>4</v>
    <v>0</v>
    <v>0</v>
    <v>WindwheelAster</v>
  </rv>
  <rv s="2">
    <v>50</v>
    <v>4</v>
    <v>0</v>
    <v>0</v>
    <v>AgnidusAgateGemstone</v>
  </rv>
  <rv s="2">
    <v>51</v>
    <v>1</v>
    <v>0</v>
    <v>0</v>
    <v>LightningPrism</v>
  </rv>
  <rv s="2">
    <v>52</v>
    <v>1</v>
    <v>0</v>
    <v>0</v>
    <v>DvalinsSigh</v>
  </rv>
  <rv s="2">
    <v>7</v>
    <v>1</v>
    <v>0</v>
    <v>0</v>
    <v>ForbiddenCurseScroll</v>
  </rv>
  <rv s="2">
    <v>53</v>
    <v>1</v>
    <v>0</v>
    <v>0</v>
    <v>SealedScroll</v>
  </rv>
  <rv s="2">
    <v>54</v>
    <v>1</v>
    <v>0</v>
    <v>0</v>
    <v>DiviningScroll</v>
  </rv>
  <rv s="2">
    <v>6</v>
    <v>1</v>
    <v>0</v>
    <v>0</v>
    <v>PhilosophiesofBallad</v>
  </rv>
  <rv s="2">
    <v>55</v>
    <v>1</v>
    <v>0</v>
    <v>0</v>
    <v>CallaLily</v>
  </rv>
  <rv s="2">
    <v>56</v>
    <v>1</v>
    <v>0</v>
    <v>0</v>
    <v>BrilliantDiamondChunk</v>
  </rv>
  <rv s="2">
    <v>57</v>
    <v>1</v>
    <v>0</v>
    <v>0</v>
    <v>resin</v>
  </rv>
  <rv s="2">
    <v>58</v>
    <v>1</v>
    <v>0</v>
    <v>0</v>
    <v>polearm</v>
  </rv>
  <rv s="2">
    <v>59</v>
    <v>1</v>
    <v>0</v>
    <v>0</v>
    <v>electro</v>
  </rv>
  <rv s="2">
    <v>60</v>
    <v>1</v>
    <v>0</v>
    <v>0</v>
    <v>AlleyHunter</v>
  </rv>
  <rv s="2">
    <v>61</v>
    <v>1</v>
    <v>0</v>
    <v>0</v>
    <v>FragmentofDecarabiansEpic</v>
  </rv>
  <rv s="2">
    <v>62</v>
    <v>1</v>
    <v>0</v>
    <v>0</v>
    <v>EnhancementOre</v>
  </rv>
  <rv s="2">
    <v>63</v>
    <v>1</v>
    <v>0</v>
    <v>0</v>
    <v>Chiori</v>
  </rv>
  <rv s="2">
    <v>64</v>
    <v>4</v>
    <v>0</v>
    <v>0</v>
    <v>ArtificedSpareClockworkComponentCoppelia</v>
  </rv>
  <rv s="2">
    <v>65</v>
    <v>4</v>
    <v>0</v>
    <v>0</v>
    <v>LightlessSilkString</v>
  </rv>
  <rv s="2">
    <v>66</v>
    <v>4</v>
    <v>0</v>
    <v>0</v>
    <v>PhilosophiesofLight</v>
  </rv>
  <rv s="2">
    <v>67</v>
    <v>4</v>
    <v>0</v>
    <v>0</v>
    <v>SpectralNucleus</v>
  </rv>
  <rv s="2">
    <v>68</v>
    <v>4</v>
    <v>0</v>
    <v>0</v>
    <v>HennaBerry</v>
  </rv>
  <rv s="2">
    <v>4</v>
    <v>1</v>
    <v>0</v>
    <v>0</v>
    <v>BasaltPillar</v>
  </rv>
  <rv s="2">
    <v>69</v>
    <v>1</v>
    <v>0</v>
    <v>0</v>
    <v>TailofBoreas</v>
  </rv>
  <rv s="2">
    <v>70</v>
    <v>1</v>
    <v>0</v>
    <v>0</v>
    <v>SlimeConcentrate</v>
  </rv>
  <rv s="2">
    <v>71</v>
    <v>1</v>
    <v>0</v>
    <v>0</v>
    <v>SlimeSecretions</v>
  </rv>
  <rv s="2">
    <v>72</v>
    <v>1</v>
    <v>0</v>
    <v>0</v>
    <v>SlimeCondensate</v>
  </rv>
  <rv s="2">
    <v>73</v>
    <v>1</v>
    <v>0</v>
    <v>0</v>
    <v>TeachingsofResistance</v>
  </rv>
  <rv s="2">
    <v>8</v>
    <v>1</v>
    <v>0</v>
    <v>0</v>
    <v>Cecilia</v>
  </rv>
  <rv s="2">
    <v>74</v>
    <v>1</v>
    <v>0</v>
    <v>0</v>
    <v>BrilliantDiamondGemstone</v>
  </rv>
  <rv s="2">
    <v>75</v>
    <v>1</v>
    <v>0</v>
    <v>0</v>
    <v>characters</v>
  </rv>
  <rv s="2">
    <v>76</v>
    <v>1</v>
    <v>0</v>
    <v>0</v>
    <v>bow</v>
  </rv>
  <rv s="2">
    <v>24</v>
    <v>1</v>
    <v>0</v>
    <v>0</v>
    <v>dendro</v>
  </rv>
  <rv s="2">
    <v>77</v>
    <v>1</v>
    <v>0</v>
    <v>0</v>
    <v>AmenomaKageuchi</v>
  </rv>
  <rv s="2">
    <v>78</v>
    <v>1</v>
    <v>0</v>
    <v>0</v>
    <v>ScatteredPieceofDecarabiansDream</v>
  </rv>
  <rv s="2">
    <v>79</v>
    <v>1</v>
    <v>0</v>
    <v>0</v>
    <v>Clorinde</v>
  </rv>
  <rv s="2">
    <v>59</v>
    <v>4</v>
    <v>0</v>
    <v>0</v>
    <v>electro</v>
  </rv>
  <rv s="2">
    <v>80</v>
    <v>4</v>
    <v>0</v>
    <v>0</v>
    <v>FontemerUnihorn</v>
  </rv>
  <rv s="2">
    <v>81</v>
    <v>4</v>
    <v>0</v>
    <v>0</v>
    <v>Everamber</v>
  </rv>
  <rv s="2">
    <v>82</v>
    <v>4</v>
    <v>0</v>
    <v>0</v>
    <v>PhilosophiesofJustice</v>
  </rv>
  <rv s="2">
    <v>83</v>
    <v>4</v>
    <v>0</v>
    <v>0</v>
    <v>XenochromaticCrystal</v>
  </rv>
  <rv s="2">
    <v>84</v>
    <v>4</v>
    <v>0</v>
    <v>0</v>
    <v>Lumitoile</v>
  </rv>
  <rv s="2">
    <v>85</v>
    <v>4</v>
    <v>0</v>
    <v>0</v>
    <v>VajradaAmethystGemstone</v>
  </rv>
  <rv s="2">
    <v>86</v>
    <v>1</v>
    <v>0</v>
    <v>0</v>
    <v>CleansingHeart</v>
  </rv>
  <rv s="2">
    <v>87</v>
    <v>1</v>
    <v>0</v>
    <v>0</v>
    <v>SpiritLocketofBoreas</v>
  </rv>
  <rv s="2">
    <v>48</v>
    <v>1</v>
    <v>0</v>
    <v>0</v>
    <v>GoldenRavenInsignia</v>
  </rv>
  <rv s="2">
    <v>88</v>
    <v>1</v>
    <v>0</v>
    <v>0</v>
    <v>SilverRavenInsignia</v>
  </rv>
  <rv s="2">
    <v>89</v>
    <v>1</v>
    <v>0</v>
    <v>0</v>
    <v>TreasureHoarderInsignia</v>
  </rv>
  <rv s="2">
    <v>90</v>
    <v>1</v>
    <v>0</v>
    <v>0</v>
    <v>GuidetoResistance</v>
  </rv>
  <rv s="2">
    <v>91</v>
    <v>1</v>
    <v>0</v>
    <v>0</v>
    <v>ClearwaterJade</v>
  </rv>
  <rv s="2">
    <v>92</v>
    <v>1</v>
    <v>0</v>
    <v>0</v>
    <v>AgnidusAgateSilver</v>
  </rv>
  <rv s="2">
    <v>93</v>
    <v>1</v>
    <v>0</v>
    <v>0</v>
    <v>inventory</v>
  </rv>
  <rv s="2">
    <v>94</v>
    <v>1</v>
    <v>0</v>
    <v>0</v>
    <v>catalyst</v>
  </rv>
  <rv s="2">
    <v>95</v>
    <v>1</v>
    <v>0</v>
    <v>0</v>
    <v>hydro</v>
  </rv>
  <rv s="2">
    <v>96</v>
    <v>1</v>
    <v>0</v>
    <v>0</v>
    <v>AmosBow</v>
  </rv>
  <rv s="2">
    <v>97</v>
    <v>1</v>
    <v>0</v>
    <v>0</v>
    <v>BorealWolfsMilkTooth</v>
  </rv>
  <rv s="2">
    <v>98</v>
    <v>1</v>
    <v>0</v>
    <v>0</v>
    <v>Furina</v>
  </rv>
  <rv s="2">
    <v>95</v>
    <v>4</v>
    <v>0</v>
    <v>0</v>
    <v>hydro</v>
  </rv>
  <rv s="2">
    <v>99</v>
    <v>4</v>
    <v>0</v>
    <v>0</v>
    <v>WaterThatFailedToTranscend</v>
  </rv>
  <rv s="2">
    <v>100</v>
    <v>4</v>
    <v>0</v>
    <v>0</v>
    <v>LightlessMass</v>
  </rv>
  <rv s="2">
    <v>101</v>
    <v>4</v>
    <v>0</v>
    <v>0</v>
    <v>EnergyNectar</v>
  </rv>
  <rv s="2">
    <v>102</v>
    <v>4</v>
    <v>0</v>
    <v>0</v>
    <v>LakelightLily</v>
  </rv>
  <rv s="2">
    <v>103</v>
    <v>4</v>
    <v>0</v>
    <v>0</v>
    <v>VarunadaLazuriteGemstone</v>
  </rv>
  <rv s="2">
    <v>46</v>
    <v>1</v>
    <v>0</v>
    <v>0</v>
    <v>EverflameSeed</v>
  </rv>
  <rv s="2">
    <v>104</v>
    <v>1</v>
    <v>0</v>
    <v>0</v>
    <v>RingofBoreas</v>
  </rv>
  <rv s="2">
    <v>105</v>
    <v>1</v>
    <v>0</v>
    <v>0</v>
    <v>LieutenantsInsignia</v>
  </rv>
  <rv s="2">
    <v>106</v>
    <v>1</v>
    <v>0</v>
    <v>0</v>
    <v>SergeantsInsignia</v>
  </rv>
  <rv s="2">
    <v>107</v>
    <v>1</v>
    <v>0</v>
    <v>0</v>
    <v>RecruitsInsignia</v>
  </rv>
  <rv s="2">
    <v>47</v>
    <v>1</v>
    <v>0</v>
    <v>0</v>
    <v>PhilosophiesofResistance</v>
  </rv>
  <rv s="2">
    <v>108</v>
    <v>1</v>
    <v>0</v>
    <v>0</v>
    <v>CorLapis</v>
  </rv>
  <rv s="2">
    <v>109</v>
    <v>1</v>
    <v>0</v>
    <v>0</v>
    <v>AgnidusAgateFragment</v>
  </rv>
  <rv s="2">
    <v>110</v>
    <v>1</v>
    <v>0</v>
    <v>0</v>
    <v>options</v>
  </rv>
  <rv s="2">
    <v>45</v>
    <v>1</v>
    <v>0</v>
    <v>0</v>
    <v>pyro</v>
  </rv>
  <rv s="2">
    <v>111</v>
    <v>1</v>
    <v>0</v>
    <v>0</v>
    <v>AquaSimulacra</v>
  </rv>
  <rv s="2">
    <v>112</v>
    <v>1</v>
    <v>0</v>
    <v>0</v>
    <v>BorealWolfsCrackedTooth</v>
  </rv>
  <rv s="2">
    <v>113</v>
    <v>1</v>
    <v>0</v>
    <v>0</v>
    <v>Jean</v>
  </rv>
  <rv s="2">
    <v>19</v>
    <v>4</v>
    <v>0</v>
    <v>0</v>
    <v>anemo</v>
  </rv>
  <rv s="2">
    <v>10</v>
    <v>4</v>
    <v>0</v>
    <v>0</v>
    <v>HurricaneSeed</v>
  </rv>
  <rv s="2">
    <v>12</v>
    <v>4</v>
    <v>0</v>
    <v>0</v>
    <v>OminousMask</v>
  </rv>
  <rv s="2">
    <v>114</v>
    <v>4</v>
    <v>0</v>
    <v>0</v>
    <v>DandelionSeed</v>
  </rv>
  <rv s="2">
    <v>115</v>
    <v>4</v>
    <v>0</v>
    <v>0</v>
    <v>VayudaTurquoiseGemstone</v>
  </rv>
  <rv s="2">
    <v>116</v>
    <v>1</v>
    <v>0</v>
    <v>0</v>
    <v>JuvenileJade</v>
  </rv>
  <rv s="2">
    <v>117</v>
    <v>1</v>
    <v>0</v>
    <v>0</v>
    <v>ShardofaFoulLegacy</v>
  </rv>
  <rv s="2">
    <v>101</v>
    <v>1</v>
    <v>0</v>
    <v>0</v>
    <v>EnergyNectar</v>
  </rv>
  <rv s="2">
    <v>118</v>
    <v>1</v>
    <v>0</v>
    <v>0</v>
    <v>ShimmeringNectar</v>
  </rv>
  <rv s="2">
    <v>119</v>
    <v>1</v>
    <v>0</v>
    <v>0</v>
    <v>WhopperflowerNectar</v>
  </rv>
  <rv s="2">
    <v>120</v>
    <v>1</v>
    <v>0</v>
    <v>0</v>
    <v>TeachingsofFreedom</v>
  </rv>
  <rv s="2">
    <v>121</v>
    <v>1</v>
    <v>0</v>
    <v>0</v>
    <v>CrystalMarrow</v>
  </rv>
  <rv s="2">
    <v>122</v>
    <v>1</v>
    <v>0</v>
    <v>0</v>
    <v>AgnidusAgateChunk</v>
  </rv>
  <rv s="2">
    <v>123</v>
    <v>1</v>
    <v>0</v>
    <v>0</v>
    <v>weapons</v>
  </rv>
  <rv s="2">
    <v>124</v>
    <v>1</v>
    <v>0</v>
    <v>0</v>
    <v>cryo</v>
  </rv>
  <rv s="2">
    <v>125</v>
    <v>1</v>
    <v>0</v>
    <v>0</v>
    <v>AquilaFavonia</v>
  </rv>
  <rv s="2">
    <v>126</v>
    <v>1</v>
    <v>0</v>
    <v>0</v>
    <v>BorealWolfsBrokenFang</v>
  </rv>
  <rv s="2">
    <v>127</v>
    <v>1</v>
    <v>0</v>
    <v>0</v>
    <v>KaedeharaKazuha</v>
  </rv>
  <rv s="2">
    <v>128</v>
    <v>4</v>
    <v>0</v>
    <v>0</v>
    <v>MarionetteCore</v>
  </rv>
  <rv s="2">
    <v>129</v>
    <v>4</v>
    <v>0</v>
    <v>0</v>
    <v>GildedScale</v>
  </rv>
  <rv s="2">
    <v>130</v>
    <v>4</v>
    <v>0</v>
    <v>0</v>
    <v>PhilosophiesofDiligence</v>
  </rv>
  <rv s="2">
    <v>131</v>
    <v>4</v>
    <v>0</v>
    <v>0</v>
    <v>SeaGanoderma</v>
  </rv>
  <rv s="2">
    <v>132</v>
    <v>1</v>
    <v>0</v>
    <v>0</v>
    <v>CrystallineBloom</v>
  </rv>
  <rv s="2">
    <v>133</v>
    <v>1</v>
    <v>0</v>
    <v>0</v>
    <v>ShadowoftheWarrior</v>
  </rv>
  <rv s="2">
    <v>134</v>
    <v>1</v>
    <v>0</v>
    <v>0</v>
    <v>FamedHandguard</v>
  </rv>
  <rv s="2">
    <v>135</v>
    <v>1</v>
    <v>0</v>
    <v>0</v>
    <v>KageuchiHandguard</v>
  </rv>
  <rv s="2">
    <v>136</v>
    <v>1</v>
    <v>0</v>
    <v>0</v>
    <v>OldHandguard</v>
  </rv>
  <rv s="2">
    <v>137</v>
    <v>1</v>
    <v>0</v>
    <v>0</v>
    <v>GuidetoFreedom</v>
  </rv>
  <rv s="2">
    <v>114</v>
    <v>1</v>
    <v>0</v>
    <v>0</v>
    <v>DandelionSeed</v>
  </rv>
  <rv s="2">
    <v>50</v>
    <v>1</v>
    <v>0</v>
    <v>0</v>
    <v>AgnidusAgateGemstone</v>
  </rv>
  <rv s="2">
    <v>138</v>
    <v>1</v>
    <v>0</v>
    <v>0</v>
    <v>AThousandFloatingDreams</v>
  </rv>
  <rv s="2">
    <v>139</v>
    <v>1</v>
    <v>0</v>
    <v>0</v>
    <v>BorealWolfsNostalgia</v>
  </rv>
  <rv s="2">
    <v>140</v>
    <v>1</v>
    <v>0</v>
    <v>0</v>
    <v>Kaeya</v>
  </rv>
  <rv s="2">
    <v>124</v>
    <v>4</v>
    <v>0</v>
    <v>0</v>
    <v>cryo</v>
  </rv>
  <rv s="2">
    <v>31</v>
    <v>4</v>
    <v>0</v>
    <v>0</v>
    <v>HoarfrostCore</v>
  </rv>
  <rv s="2">
    <v>87</v>
    <v>4</v>
    <v>0</v>
    <v>0</v>
    <v>SpiritLocketofBoreas</v>
  </rv>
  <rv s="2">
    <v>55</v>
    <v>4</v>
    <v>0</v>
    <v>0</v>
    <v>CallaLily</v>
  </rv>
  <rv s="2">
    <v>141</v>
    <v>4</v>
    <v>0</v>
    <v>0</v>
    <v>ShivadaJadeGemstone</v>
  </rv>
  <rv s="2">
    <v>128</v>
    <v>1</v>
    <v>0</v>
    <v>0</v>
    <v>MarionetteCore</v>
  </rv>
  <rv s="2">
    <v>5</v>
    <v>1</v>
    <v>0</v>
    <v>0</v>
    <v>TuskofMonocerosCaeli</v>
  </rv>
  <rv s="2">
    <v>67</v>
    <v>1</v>
    <v>0</v>
    <v>0</v>
    <v>SpectralNucleus</v>
  </rv>
  <rv s="2">
    <v>142</v>
    <v>1</v>
    <v>0</v>
    <v>0</v>
    <v>SpectralHeart</v>
  </rv>
  <rv s="2">
    <v>143</v>
    <v>1</v>
    <v>0</v>
    <v>0</v>
    <v>SpectralHusk</v>
  </rv>
  <rv s="2">
    <v>144</v>
    <v>1</v>
    <v>0</v>
    <v>0</v>
    <v>PhilosophiesofFreedom</v>
  </rv>
  <rv s="2">
    <v>145</v>
    <v>1</v>
    <v>0</v>
    <v>0</v>
    <v>Dendrobium</v>
  </rv>
  <rv s="2">
    <v>146</v>
    <v>1</v>
    <v>0</v>
    <v>0</v>
    <v>VarunadaLazuriteSilver</v>
  </rv>
  <rv s="2">
    <v>147</v>
    <v>1</v>
    <v>0</v>
    <v>0</v>
    <v>BalladoftheBoundlessBlue</v>
  </rv>
  <rv s="2">
    <v>148</v>
    <v>1</v>
    <v>0</v>
    <v>0</v>
    <v>FettersoftheDandelionGladiator</v>
  </rv>
  <rv s="2">
    <v>149</v>
    <v>1</v>
    <v>0</v>
    <v>0</v>
    <v>KamisatoAyaka</v>
  </rv>
  <rv s="2">
    <v>150</v>
    <v>4</v>
    <v>0</v>
    <v>0</v>
    <v>PerpetualHeart</v>
  </rv>
  <rv s="2">
    <v>151</v>
    <v>4</v>
    <v>0</v>
    <v>0</v>
    <v>BloodjadeBranch</v>
  </rv>
  <rv s="2">
    <v>152</v>
    <v>4</v>
    <v>0</v>
    <v>0</v>
    <v>PhilosophiesofElegance</v>
  </rv>
  <rv s="2">
    <v>134</v>
    <v>4</v>
    <v>0</v>
    <v>0</v>
    <v>FamedHandguard</v>
  </rv>
  <rv s="2">
    <v>153</v>
    <v>4</v>
    <v>0</v>
    <v>0</v>
    <v>SakuraBloom</v>
  </rv>
  <rv s="2">
    <v>150</v>
    <v>1</v>
    <v>0</v>
    <v>0</v>
    <v>PerpetualHeart</v>
  </rv>
  <rv s="2">
    <v>154</v>
    <v>1</v>
    <v>0</v>
    <v>0</v>
    <v>DragonLordsCrown</v>
  </rv>
  <rv s="2">
    <v>155</v>
    <v>1</v>
    <v>0</v>
    <v>0</v>
    <v>CrystallineCystDust</v>
  </rv>
  <rv s="2">
    <v>156</v>
    <v>1</v>
    <v>0</v>
    <v>0</v>
    <v>LuminescentPollen</v>
  </rv>
  <rv s="2">
    <v>157</v>
    <v>1</v>
    <v>0</v>
    <v>0</v>
    <v>FungalSpores</v>
  </rv>
  <rv s="2">
    <v>158</v>
    <v>1</v>
    <v>0</v>
    <v>0</v>
    <v>TeachingsofGold</v>
  </rv>
  <rv s="2">
    <v>159</v>
    <v>1</v>
    <v>0</v>
    <v>0</v>
    <v>FluorescentFungus</v>
  </rv>
  <rv s="2">
    <v>160</v>
    <v>1</v>
    <v>0</v>
    <v>0</v>
    <v>VarunadaLazuriteFragment</v>
  </rv>
  <rv s="2">
    <v>161</v>
    <v>1</v>
    <v>0</v>
    <v>0</v>
    <v>BalladoftheFjords</v>
  </rv>
  <rv s="2">
    <v>162</v>
    <v>1</v>
    <v>0</v>
    <v>0</v>
    <v>ChainsoftheDandelionGladiator</v>
  </rv>
  <rv s="2">
    <v>163</v>
    <v>1</v>
    <v>0</v>
    <v>0</v>
    <v>KamisatoAyato</v>
  </rv>
  <rv s="2">
    <v>164</v>
    <v>4</v>
    <v>0</v>
    <v>0</v>
    <v>DewofRepudiation</v>
  </rv>
  <rv s="2">
    <v>165</v>
    <v>4</v>
    <v>0</v>
    <v>0</v>
    <v>MudraoftheMaleficGeneral</v>
  </rv>
  <rv s="2">
    <v>166</v>
    <v>1</v>
    <v>0</v>
    <v>0</v>
    <v>SmolderingPearl</v>
  </rv>
  <rv s="2">
    <v>129</v>
    <v>1</v>
    <v>0</v>
    <v>0</v>
    <v>GildedScale</v>
  </rv>
  <rv s="2">
    <v>28</v>
    <v>1</v>
    <v>0</v>
    <v>0</v>
    <v>RichRedBrocade</v>
  </rv>
  <rv s="2">
    <v>167</v>
    <v>1</v>
    <v>0</v>
    <v>0</v>
    <v>TrimmedRedSilk</v>
  </rv>
  <rv s="2">
    <v>168</v>
    <v>1</v>
    <v>0</v>
    <v>0</v>
    <v>FadedRedSatin</v>
  </rv>
  <rv s="2">
    <v>169</v>
    <v>1</v>
    <v>0</v>
    <v>0</v>
    <v>GuidetoGold</v>
  </rv>
  <rv s="2">
    <v>170</v>
    <v>1</v>
    <v>0</v>
    <v>0</v>
    <v>GlazeLily</v>
  </rv>
  <rv s="2">
    <v>171</v>
    <v>1</v>
    <v>0</v>
    <v>0</v>
    <v>VarunadaLazuriteChunk</v>
  </rv>
  <rv s="2">
    <v>172</v>
    <v>1</v>
    <v>0</v>
    <v>0</v>
    <v>BeaconoftheReedSea</v>
  </rv>
  <rv s="2">
    <v>173</v>
    <v>1</v>
    <v>0</v>
    <v>0</v>
    <v>ShacklesoftheDandelionGladiator</v>
  </rv>
  <rv s="2">
    <v>174</v>
    <v>1</v>
    <v>0</v>
    <v>0</v>
    <v>Keqing</v>
  </rv>
  <rv s="2">
    <v>51</v>
    <v>4</v>
    <v>0</v>
    <v>0</v>
    <v>LightningPrism</v>
  </rv>
  <rv s="2">
    <v>104</v>
    <v>4</v>
    <v>0</v>
    <v>0</v>
    <v>RingofBoreas</v>
  </rv>
  <rv s="2">
    <v>175</v>
    <v>4</v>
    <v>0</v>
    <v>0</v>
    <v>PhilosophiesofProsperity</v>
  </rv>
  <rv s="2">
    <v>108</v>
    <v>4</v>
    <v>0</v>
    <v>0</v>
    <v>CorLapis</v>
  </rv>
  <rv s="2">
    <v>164</v>
    <v>1</v>
    <v>0</v>
    <v>0</v>
    <v>DewofRepudiation</v>
  </rv>
  <rv s="2">
    <v>151</v>
    <v>1</v>
    <v>0</v>
    <v>0</v>
    <v>BloodjadeBranch</v>
  </rv>
  <rv s="2">
    <v>83</v>
    <v>1</v>
    <v>0</v>
    <v>0</v>
    <v>XenochromaticCrystal</v>
  </rv>
  <rv s="2">
    <v>176</v>
    <v>1</v>
    <v>0</v>
    <v>0</v>
    <v>TransoceanicChunk</v>
  </rv>
  <rv s="2">
    <v>177</v>
    <v>1</v>
    <v>0</v>
    <v>0</v>
    <v>TransoceanicPearl</v>
  </rv>
  <rv s="2">
    <v>178</v>
    <v>1</v>
    <v>0</v>
    <v>0</v>
    <v>PhilosophiesofGold</v>
  </rv>
  <rv s="2">
    <v>68</v>
    <v>1</v>
    <v>0</v>
    <v>0</v>
    <v>HennaBerry</v>
  </rv>
  <rv s="2">
    <v>103</v>
    <v>1</v>
    <v>0</v>
    <v>0</v>
    <v>VarunadaLazuriteGemstone</v>
  </rv>
  <rv s="2">
    <v>179</v>
    <v>1</v>
    <v>0</v>
    <v>0</v>
    <v>BlackcliffAgate</v>
  </rv>
  <rv s="2">
    <v>180</v>
    <v>1</v>
    <v>0</v>
    <v>0</v>
    <v>DreamoftheDandelionGladiator</v>
  </rv>
  <rv s="2">
    <v>181</v>
    <v>1</v>
    <v>0</v>
    <v>0</v>
    <v>Kirara</v>
  </rv>
  <rv s="2">
    <v>182</v>
    <v>4</v>
    <v>0</v>
    <v>0</v>
    <v>EvergloomRing</v>
  </rv>
  <rv s="2">
    <v>183</v>
    <v>4</v>
    <v>0</v>
    <v>0</v>
    <v>PhilosophiesofTransience</v>
  </rv>
  <rv s="2">
    <v>16</v>
    <v>4</v>
    <v>0</v>
    <v>0</v>
    <v>AmakumoFruit</v>
  </rv>
  <rv s="2">
    <v>184</v>
    <v>1</v>
    <v>0</v>
    <v>0</v>
    <v>StormBeads</v>
  </rv>
  <rv s="2">
    <v>185</v>
    <v>1</v>
    <v>0</v>
    <v>0</v>
    <v>HellfireButterfly</v>
  </rv>
  <rv s="2">
    <v>186</v>
    <v>1</v>
    <v>0</v>
    <v>0</v>
    <v>ArtificedDynamicGear</v>
  </rv>
  <rv s="2">
    <v>187</v>
    <v>1</v>
    <v>0</v>
    <v>0</v>
    <v>MechanicalSpurGear</v>
  </rv>
  <rv s="2">
    <v>188</v>
    <v>1</v>
    <v>0</v>
    <v>0</v>
    <v>MeshingGear</v>
  </rv>
  <rv s="2">
    <v>189</v>
    <v>1</v>
    <v>0</v>
    <v>0</v>
    <v>TeachingsofProsperity</v>
  </rv>
  <rv s="2">
    <v>190</v>
    <v>1</v>
    <v>0</v>
    <v>0</v>
    <v>JueyunChili</v>
  </rv>
  <rv s="2">
    <v>191</v>
    <v>1</v>
    <v>0</v>
    <v>0</v>
    <v>NagadusEmeraldSilver</v>
  </rv>
  <rv s="2">
    <v>192</v>
    <v>1</v>
    <v>0</v>
    <v>0</v>
    <v>BlackcliffLongsword</v>
  </rv>
  <rv s="2">
    <v>193</v>
    <v>1</v>
    <v>0</v>
    <v>0</v>
    <v>LuminousSandsfromGuyun</v>
  </rv>
  <rv s="2">
    <v>194</v>
    <v>1</v>
    <v>0</v>
    <v>0</v>
    <v>KukiShinobu</v>
  </rv>
  <rv s="2">
    <v>195</v>
    <v>4</v>
    <v>0</v>
    <v>0</v>
    <v>RunicFang</v>
  </rv>
  <rv s="2">
    <v>196</v>
    <v>4</v>
    <v>0</v>
    <v>0</v>
    <v>TearsoftheCalamitousGod</v>
  </rv>
  <rv s="2">
    <v>197</v>
    <v>4</v>
    <v>0</v>
    <v>0</v>
    <v>NakuWeed</v>
  </rv>
  <rv s="2">
    <v>198</v>
    <v>1</v>
    <v>0</v>
    <v>0</v>
    <v>RiftbornRegalia</v>
  </rv>
  <rv s="2">
    <v>199</v>
    <v>1</v>
    <v>0</v>
    <v>0</v>
    <v>AshenHeart</v>
  </rv>
  <rv s="2">
    <v>200</v>
    <v>1</v>
    <v>0</v>
    <v>0</v>
    <v>GuidetoProsperity</v>
  </rv>
  <rv s="2">
    <v>201</v>
    <v>1</v>
    <v>0</v>
    <v>0</v>
    <v>KalpalataLotus</v>
  </rv>
  <rv s="2">
    <v>202</v>
    <v>1</v>
    <v>0</v>
    <v>0</v>
    <v>NagadusEmeraldFragment</v>
  </rv>
  <rv s="2">
    <v>203</v>
    <v>1</v>
    <v>0</v>
    <v>0</v>
    <v>BlackcliffPole</v>
  </rv>
  <rv s="2">
    <v>204</v>
    <v>1</v>
    <v>0</v>
    <v>0</v>
    <v>LustrousStonefromGuyun</v>
  </rv>
  <rv s="2">
    <v>205</v>
    <v>1</v>
    <v>0</v>
    <v>0</v>
    <v>Layla</v>
  </rv>
  <rv s="2">
    <v>206</v>
    <v>4</v>
    <v>0</v>
    <v>0</v>
    <v>PerpetualCaliber</v>
  </rv>
  <rv s="2">
    <v>207</v>
    <v>4</v>
    <v>0</v>
    <v>0</v>
    <v>NilotpalaLotus</v>
  </rv>
  <rv s="2">
    <v>208</v>
    <v>1</v>
    <v>0</v>
    <v>0</v>
    <v>DragonheirsFalseFin</v>
  </rv>
  <rv s="2">
    <v>209</v>
    <v>1</v>
    <v>0</v>
    <v>0</v>
    <v>MoltenMoment</v>
  </rv>
  <rv s="2">
    <v>175</v>
    <v>1</v>
    <v>0</v>
    <v>0</v>
    <v>PhilosophiesofProsperity</v>
  </rv>
  <rv s="2">
    <v>102</v>
    <v>1</v>
    <v>0</v>
    <v>0</v>
    <v>LakelightLily</v>
  </rv>
  <rv s="2">
    <v>210</v>
    <v>1</v>
    <v>0</v>
    <v>0</v>
    <v>NagadusEmeraldChunk</v>
  </rv>
  <rv s="2">
    <v>211</v>
    <v>1</v>
    <v>0</v>
    <v>0</v>
    <v>BlackcliffSlasher</v>
  </rv>
  <rv s="2">
    <v>212</v>
    <v>1</v>
    <v>0</v>
    <v>0</v>
    <v>RelicfromGuyun</v>
  </rv>
  <rv s="2">
    <v>213</v>
    <v>1</v>
    <v>0</v>
    <v>0</v>
    <v>Lynette</v>
  </rv>
  <rv s="2">
    <v>214</v>
    <v>4</v>
    <v>0</v>
    <v>0</v>
    <v>PhilosophiesofOrder</v>
  </rv>
  <rv s="2">
    <v>186</v>
    <v>4</v>
    <v>0</v>
    <v>0</v>
    <v>ArtificedDynamicGear</v>
  </rv>
  <rv s="2">
    <v>215</v>
    <v>4</v>
    <v>0</v>
    <v>0</v>
    <v>LumidouceBell</v>
  </rv>
  <rv s="2">
    <v>195</v>
    <v>1</v>
    <v>0</v>
    <v>0</v>
    <v>RunicFang</v>
  </rv>
  <rv s="2">
    <v>165</v>
    <v>1</v>
    <v>0</v>
    <v>0</v>
    <v>MudraoftheMaleficGeneral</v>
  </rv>
  <rv s="2">
    <v>216</v>
    <v>1</v>
    <v>0</v>
    <v>0</v>
    <v>TeachingsofDiligence</v>
  </rv>
  <rv s="2">
    <v>215</v>
    <v>1</v>
    <v>0</v>
    <v>0</v>
    <v>LumidouceBell</v>
  </rv>
  <rv s="2">
    <v>30</v>
    <v>1</v>
    <v>0</v>
    <v>0</v>
    <v>NagadusEmeraldGemstone</v>
  </rv>
  <rv s="2">
    <v>217</v>
    <v>1</v>
    <v>0</v>
    <v>0</v>
    <v>BlackcliffWarbow</v>
  </rv>
  <rv s="2">
    <v>218</v>
    <v>1</v>
    <v>0</v>
    <v>0</v>
    <v>DivineBodyfromGuyun</v>
  </rv>
  <rv s="2">
    <v>219</v>
    <v>1</v>
    <v>0</v>
    <v>0</v>
    <v>Nilou</v>
  </rv>
  <rv s="2">
    <v>220</v>
    <v>4</v>
    <v>0</v>
    <v>0</v>
    <v>PhilosophiesofPraxis</v>
  </rv>
  <rv s="2">
    <v>155</v>
    <v>4</v>
    <v>0</v>
    <v>0</v>
    <v>CrystallineCystDust</v>
  </rv>
  <rv s="2">
    <v>221</v>
    <v>4</v>
    <v>0</v>
    <v>0</v>
    <v>Padisarah</v>
  </rv>
  <rv s="2">
    <v>222</v>
    <v>1</v>
    <v>0</v>
    <v>0</v>
    <v>ThunderclapFruitcore</v>
  </rv>
  <rv s="2">
    <v>223</v>
    <v>1</v>
    <v>0</v>
    <v>0</v>
    <v>TheMeaningofAeons</v>
  </rv>
  <rv s="2">
    <v>224</v>
    <v>1</v>
    <v>0</v>
    <v>0</v>
    <v>GuidetoDiligence</v>
  </rv>
  <rv s="2">
    <v>84</v>
    <v>1</v>
    <v>0</v>
    <v>0</v>
    <v>Lumitoile</v>
  </rv>
  <rv s="2">
    <v>225</v>
    <v>1</v>
    <v>0</v>
    <v>0</v>
    <v>VajradaAmethystSilver</v>
  </rv>
  <rv s="2">
    <v>226</v>
    <v>1</v>
    <v>0</v>
    <v>0</v>
    <v>BlackTassel</v>
  </rv>
  <rv s="2">
    <v>227</v>
    <v>1</v>
    <v>0</v>
    <v>0</v>
    <v>MistVeiledLeadElixir</v>
  </rv>
  <rv s="2">
    <v>228</v>
    <v>1</v>
    <v>0</v>
    <v>0</v>
    <v>Qiqi</v>
  </rv>
  <rv s="2">
    <v>69</v>
    <v>4</v>
    <v>0</v>
    <v>0</v>
    <v>TailofBoreas</v>
  </rv>
  <rv s="2">
    <v>229</v>
    <v>4</v>
    <v>0</v>
    <v>0</v>
    <v>Violetgrass</v>
  </rv>
  <rv s="2">
    <v>230</v>
    <v>1</v>
    <v>0</v>
    <v>0</v>
    <v>MajesticHookedBeak</v>
  </rv>
  <rv s="2">
    <v>196</v>
    <v>1</v>
    <v>0</v>
    <v>0</v>
    <v>TearsoftheCalamitousGod</v>
  </rv>
  <rv s="2">
    <v>130</v>
    <v>1</v>
    <v>0</v>
    <v>0</v>
    <v>PhilosophiesofDiligence</v>
  </rv>
  <rv s="2">
    <v>231</v>
    <v>1</v>
    <v>0</v>
    <v>0</v>
    <v>MourningFlower</v>
  </rv>
  <rv s="2">
    <v>232</v>
    <v>1</v>
    <v>0</v>
    <v>0</v>
    <v>VajradaAmethystFragment</v>
  </rv>
  <rv s="2">
    <v>233</v>
    <v>1</v>
    <v>0</v>
    <v>0</v>
    <v>BloodtaintedGreatsword</v>
  </rv>
  <rv s="2">
    <v>234</v>
    <v>1</v>
    <v>0</v>
    <v>0</v>
    <v>MistVeiledMercuryElixir</v>
  </rv>
  <rv s="2">
    <v>235</v>
    <v>1</v>
    <v>0</v>
    <v>0</v>
    <v>TravelerAnemo</v>
  </rv>
  <rv s="2">
    <v>74</v>
    <v>4</v>
    <v>0</v>
    <v>0</v>
    <v>BrilliantDiamondGemstone</v>
  </rv>
  <rv s="2">
    <v>206</v>
    <v>1</v>
    <v>0</v>
    <v>0</v>
    <v>PerpetualCaliber</v>
  </rv>
  <rv s="2">
    <v>236</v>
    <v>1</v>
    <v>0</v>
    <v>0</v>
    <v>PuppetStrings</v>
  </rv>
  <rv s="2">
    <v>237</v>
    <v>1</v>
    <v>0</v>
    <v>0</v>
    <v>TeachingsofTransience</v>
  </rv>
  <rv s="2">
    <v>197</v>
    <v>1</v>
    <v>0</v>
    <v>0</v>
    <v>NakuWeed</v>
  </rv>
  <rv s="2">
    <v>238</v>
    <v>1</v>
    <v>0</v>
    <v>0</v>
    <v>VajradaAmethystChunk</v>
  </rv>
  <rv s="2">
    <v>239</v>
    <v>1</v>
    <v>0</v>
    <v>0</v>
    <v>CalamityQueller</v>
  </rv>
  <rv s="2">
    <v>240</v>
    <v>1</v>
    <v>0</v>
    <v>0</v>
    <v>MistVeiledGoldElixir</v>
  </rv>
  <rv s="2">
    <v>241</v>
    <v>1</v>
    <v>0</v>
    <v>0</v>
    <v>TravelerGeo</v>
  </rv>
  <rv s="2">
    <v>242</v>
    <v>1</v>
    <v>0</v>
    <v>0</v>
    <v>LightGuidingTetrahedron</v>
  </rv>
  <rv s="2">
    <v>243</v>
    <v>1</v>
    <v>0</v>
    <v>0</v>
    <v>DakasBell</v>
  </rv>
  <rv s="2">
    <v>244</v>
    <v>1</v>
    <v>0</v>
    <v>0</v>
    <v>GuidetoTransience</v>
  </rv>
  <rv s="2">
    <v>207</v>
    <v>1</v>
    <v>0</v>
    <v>0</v>
    <v>NilotpalaLotus</v>
  </rv>
  <rv s="2">
    <v>85</v>
    <v>1</v>
    <v>0</v>
    <v>0</v>
    <v>VajradaAmethystGemstone</v>
  </rv>
  <rv s="2">
    <v>245</v>
    <v>1</v>
    <v>0</v>
    <v>0</v>
    <v>CashflowSupervision</v>
  </rv>
  <rv s="2">
    <v>246</v>
    <v>1</v>
    <v>0</v>
    <v>0</v>
    <v>MistVeiledPrimoElixir</v>
  </rv>
  <rv s="2">
    <v>247</v>
    <v>1</v>
    <v>0</v>
    <v>0</v>
    <v>TravelerElectro</v>
  </rv>
  <rv s="2">
    <v>248</v>
    <v>1</v>
    <v>0</v>
    <v>0</v>
    <v>QuelledCreeper</v>
  </rv>
  <rv s="2">
    <v>26</v>
    <v>1</v>
    <v>0</v>
    <v>0</v>
    <v>MirrorofMushin</v>
  </rv>
  <rv s="2">
    <v>183</v>
    <v>1</v>
    <v>0</v>
    <v>0</v>
    <v>PhilosophiesofTransience</v>
  </rv>
  <rv s="2">
    <v>249</v>
    <v>1</v>
    <v>0</v>
    <v>0</v>
    <v>NoctilucousJade</v>
  </rv>
  <rv s="2">
    <v>250</v>
    <v>1</v>
    <v>0</v>
    <v>0</v>
    <v>VayudaTurquoiseSilver</v>
  </rv>
  <rv s="2">
    <v>251</v>
    <v>1</v>
    <v>0</v>
    <v>0</v>
    <v>CinnabarSpindle</v>
  </rv>
  <rv s="2">
    <v>252</v>
    <v>1</v>
    <v>0</v>
    <v>0</v>
    <v>GrainofAerosiderite</v>
  </rv>
  <rv s="2">
    <v>253</v>
    <v>1</v>
    <v>0</v>
    <v>0</v>
    <v>TravelerDendro</v>
  </rv>
  <rv s="2">
    <v>25</v>
    <v>1</v>
    <v>0</v>
    <v>0</v>
    <v>PseudoStamens</v>
  </rv>
  <rv s="2">
    <v>254</v>
    <v>1</v>
    <v>0</v>
    <v>0</v>
    <v>PrimordialGreenbloom</v>
  </rv>
  <rv s="2">
    <v>255</v>
    <v>1</v>
    <v>0</v>
    <v>0</v>
    <v>TeachingsofLight</v>
  </rv>
  <rv s="2">
    <v>256</v>
    <v>1</v>
    <v>0</v>
    <v>0</v>
    <v>Onikabuto</v>
  </rv>
  <rv s="2">
    <v>257</v>
    <v>1</v>
    <v>0</v>
    <v>0</v>
    <v>VayudaTurquoiseFragment</v>
  </rv>
  <rv s="2">
    <v>258</v>
    <v>1</v>
    <v>0</v>
    <v>0</v>
    <v>Cloudforged</v>
  </rv>
  <rv s="2">
    <v>259</v>
    <v>1</v>
    <v>0</v>
    <v>0</v>
    <v>PieceofAerosiderite</v>
  </rv>
  <rv s="2">
    <v>260</v>
    <v>1</v>
    <v>0</v>
    <v>0</v>
    <v>TravelerHydro</v>
  </rv>
  <rv s="2">
    <v>182</v>
    <v>1</v>
    <v>0</v>
    <v>0</v>
    <v>EvergloomRing</v>
  </rv>
  <rv s="2">
    <v>81</v>
    <v>1</v>
    <v>0</v>
    <v>0</v>
    <v>Everamber</v>
  </rv>
  <rv s="2">
    <v>261</v>
    <v>1</v>
    <v>0</v>
    <v>0</v>
    <v>GuidetoLight</v>
  </rv>
  <rv s="2">
    <v>221</v>
    <v>1</v>
    <v>0</v>
    <v>0</v>
    <v>Padisarah</v>
  </rv>
  <rv s="2">
    <v>262</v>
    <v>1</v>
    <v>0</v>
    <v>0</v>
    <v>VayudaTurquoiseChunk</v>
  </rv>
  <rv s="2">
    <v>263</v>
    <v>1</v>
    <v>0</v>
    <v>0</v>
    <v>CompoundBow</v>
  </rv>
  <rv s="2">
    <v>264</v>
    <v>1</v>
    <v>0</v>
    <v>0</v>
    <v>BitofAerosiderite</v>
  </rv>
  <rv s="2">
    <v>265</v>
    <v>1</v>
    <v>0</v>
    <v>0</v>
    <v>TravelerPyro</v>
  </rv>
  <rv s="2">
    <v>64</v>
    <v>1</v>
    <v>0</v>
    <v>0</v>
    <v>ArtificedSpareClockworkComponentCoppelia</v>
  </rv>
  <rv s="2">
    <v>266</v>
    <v>1</v>
    <v>0</v>
    <v>0</v>
    <v>WorldspanFern</v>
  </rv>
  <rv s="2">
    <v>66</v>
    <v>1</v>
    <v>0</v>
    <v>0</v>
    <v>PhilosophiesofLight</v>
  </rv>
  <rv s="2">
    <v>267</v>
    <v>1</v>
    <v>0</v>
    <v>0</v>
    <v>PhilanemoMushroom</v>
  </rv>
  <rv s="2">
    <v>115</v>
    <v>1</v>
    <v>0</v>
    <v>0</v>
    <v>VayudaTurquoiseGemstone</v>
  </rv>
  <rv s="2">
    <v>268</v>
    <v>1</v>
    <v>0</v>
    <v>0</v>
    <v>CoolSteel</v>
  </rv>
  <rv s="2">
    <v>269</v>
    <v>1</v>
    <v>0</v>
    <v>0</v>
    <v>ChunkofAerosiderite</v>
  </rv>
  <rv s="2">
    <v>270</v>
    <v>1</v>
    <v>0</v>
    <v>0</v>
    <v>TravelerCryo</v>
  </rv>
  <rv s="2">
    <v>271</v>
    <v>1</v>
    <v>0</v>
    <v>0</v>
    <v>ArtificedSpareClockworkComponentCoppelius</v>
  </rv>
  <rv s="2">
    <v>65</v>
    <v>1</v>
    <v>0</v>
    <v>0</v>
    <v>LightlessSilkString</v>
  </rv>
  <rv s="2">
    <v>272</v>
    <v>1</v>
    <v>0</v>
    <v>0</v>
    <v>TeachingsofElegance</v>
  </rv>
  <rv s="2">
    <v>273</v>
    <v>1</v>
    <v>0</v>
    <v>0</v>
    <v>Qingxin</v>
  </rv>
  <rv s="2">
    <v>274</v>
    <v>1</v>
    <v>0</v>
    <v>0</v>
    <v>ShivadaJadeSilver</v>
  </rv>
  <rv s="2">
    <v>275</v>
    <v>1</v>
    <v>0</v>
    <v>0</v>
    <v>CranesEchoingCall</v>
  </rv>
  <rv s="2">
    <v>276</v>
    <v>1</v>
    <v>0</v>
    <v>0</v>
    <v>CoralBranchofaDistantSea</v>
  </rv>
  <rv s="2">
    <v>277</v>
    <v>1</v>
    <v>0</v>
    <v>0</v>
    <v>Xingqiu</v>
  </rv>
  <rv s="2">
    <v>86</v>
    <v>4</v>
    <v>0</v>
    <v>0</v>
    <v>CleansingHeart</v>
  </rv>
  <rv s="2">
    <v>178</v>
    <v>4</v>
    <v>0</v>
    <v>0</v>
    <v>PhilosophiesofGold</v>
  </rv>
  <rv s="2">
    <v>278</v>
    <v>4</v>
    <v>0</v>
    <v>0</v>
    <v>SilkFlower</v>
  </rv>
  <rv s="2">
    <v>279</v>
    <v>1</v>
    <v>0</v>
    <v>0</v>
    <v>EmperorsResolution</v>
  </rv>
  <rv s="2">
    <v>280</v>
    <v>1</v>
    <v>0</v>
    <v>0</v>
    <v>LightlessEyeoftheMaelstrom</v>
  </rv>
  <rv s="2">
    <v>281</v>
    <v>1</v>
    <v>0</v>
    <v>0</v>
    <v>GuidetoElegance</v>
  </rv>
  <rv s="2">
    <v>282</v>
    <v>1</v>
    <v>0</v>
    <v>0</v>
    <v>RainbowRose</v>
  </rv>
  <rv s="2">
    <v>283</v>
    <v>1</v>
    <v>0</v>
    <v>0</v>
    <v>ShivadaJadeFragment</v>
  </rv>
  <rv s="2">
    <v>284</v>
    <v>1</v>
    <v>0</v>
    <v>0</v>
    <v>CrescentPike</v>
  </rv>
  <rv s="2">
    <v>285</v>
    <v>1</v>
    <v>0</v>
    <v>0</v>
    <v>JeweledBranchofaDistantSea</v>
  </rv>
  <rv s="2">
    <v>286</v>
    <v>1</v>
    <v>0</v>
    <v>0</v>
    <v>Aloy</v>
  </rv>
  <rv s="2">
    <v>76</v>
    <v>4</v>
    <v>0</v>
    <v>0</v>
    <v>bow</v>
  </rv>
  <rv s="2">
    <v>132</v>
    <v>4</v>
    <v>0</v>
    <v>0</v>
    <v>CrystallineBloom</v>
  </rv>
  <rv s="2">
    <v>209</v>
    <v>4</v>
    <v>0</v>
    <v>0</v>
    <v>MoltenMoment</v>
  </rv>
  <rv s="2">
    <v>144</v>
    <v>4</v>
    <v>0</v>
    <v>0</v>
    <v>PhilosophiesofFreedom</v>
  </rv>
  <rv s="2">
    <v>121</v>
    <v>4</v>
    <v>0</v>
    <v>0</v>
    <v>CrystalMarrow</v>
  </rv>
  <rv s="2">
    <v>287</v>
    <v>1</v>
    <v>0</v>
    <v>0</v>
    <v>TourbillonDevice</v>
  </rv>
  <rv s="2">
    <v>100</v>
    <v>1</v>
    <v>0</v>
    <v>0</v>
    <v>LightlessMass</v>
  </rv>
  <rv s="2">
    <v>152</v>
    <v>1</v>
    <v>0</v>
    <v>0</v>
    <v>PhilosophiesofElegance</v>
  </rv>
  <rv s="2">
    <v>288</v>
    <v>1</v>
    <v>0</v>
    <v>0</v>
    <v>RomaritimeFlower</v>
  </rv>
  <rv s="2">
    <v>289</v>
    <v>1</v>
    <v>0</v>
    <v>0</v>
    <v>ShivadaJadeChunk</v>
  </rv>
  <rv s="2">
    <v>290</v>
    <v>1</v>
    <v>0</v>
    <v>0</v>
    <v>CrimsonMoonsSemblance</v>
  </rv>
  <rv s="2">
    <v>291</v>
    <v>1</v>
    <v>0</v>
    <v>0</v>
    <v>JadeBranchofaDistantSea</v>
  </rv>
  <rv s="2">
    <v>292</v>
    <v>1</v>
    <v>0</v>
    <v>0</v>
    <v>Amber</v>
  </rv>
  <rv s="2">
    <v>52</v>
    <v>4</v>
    <v>0</v>
    <v>0</v>
    <v>DvalinsSigh</v>
  </rv>
  <rv s="2">
    <v>33</v>
    <v>4</v>
    <v>0</v>
    <v>0</v>
    <v>WeatheredArrowhead</v>
  </rv>
  <rv s="2">
    <v>293</v>
    <v>4</v>
    <v>0</v>
    <v>0</v>
    <v>SmallLampGrass</v>
  </rv>
  <rv s="2">
    <v>80</v>
    <v>1</v>
    <v>0</v>
    <v>0</v>
    <v>FontemerUnihorn</v>
  </rv>
  <rv s="2">
    <v>294</v>
    <v>1</v>
    <v>0</v>
    <v>0</v>
    <v>SilkenFeather</v>
  </rv>
  <rv s="2">
    <v>295</v>
    <v>1</v>
    <v>0</v>
    <v>0</v>
    <v>TeachingsofIngenuity</v>
  </rv>
  <rv s="2">
    <v>296</v>
    <v>1</v>
    <v>0</v>
    <v>0</v>
    <v>RukkhashavaMushrooms</v>
  </rv>
  <rv s="2">
    <v>141</v>
    <v>1</v>
    <v>0</v>
    <v>0</v>
    <v>ShivadaJadeGemstone</v>
  </rv>
  <rv s="2">
    <v>297</v>
    <v>1</v>
    <v>0</v>
    <v>0</v>
    <v>DarkIronSword</v>
  </rv>
  <rv s="2">
    <v>298</v>
    <v>1</v>
    <v>0</v>
    <v>0</v>
    <v>GoldenBranchofaDistantSea</v>
  </rv>
  <rv s="2">
    <v>299</v>
    <v>1</v>
    <v>0</v>
    <v>0</v>
    <v>Collei</v>
  </rv>
  <rv s="2">
    <v>230</v>
    <v>4</v>
    <v>0</v>
    <v>0</v>
    <v>MajesticHookedBeak</v>
  </rv>
  <rv s="2">
    <v>296</v>
    <v>4</v>
    <v>0</v>
    <v>0</v>
    <v>RukkhashavaMushrooms</v>
  </rv>
  <rv s="2">
    <v>99</v>
    <v>1</v>
    <v>0</v>
    <v>0</v>
    <v>WaterThatFailedToTranscend</v>
  </rv>
  <rv s="2">
    <v>300</v>
    <v>1</v>
    <v>0</v>
    <v>0</v>
    <v>DenialandJudgment</v>
  </rv>
  <rv s="2">
    <v>301</v>
    <v>1</v>
    <v>0</v>
    <v>0</v>
    <v>GuidetoIngenuity</v>
  </rv>
  <rv s="2">
    <v>153</v>
    <v>1</v>
    <v>0</v>
    <v>0</v>
    <v>SakuraBloom</v>
  </rv>
  <rv s="2">
    <v>302</v>
    <v>1</v>
    <v>0</v>
    <v>0</v>
    <v>PrithivaTopazSilver</v>
  </rv>
  <rv s="2">
    <v>303</v>
    <v>1</v>
    <v>0</v>
    <v>0</v>
    <v>Deathmatch</v>
  </rv>
  <rv s="2">
    <v>304</v>
    <v>1</v>
    <v>0</v>
    <v>0</v>
    <v>NarukamisWisdom</v>
  </rv>
  <rv s="2">
    <v>305</v>
    <v>1</v>
    <v>0</v>
    <v>0</v>
    <v>Diona</v>
  </rv>
  <rv s="2">
    <v>117</v>
    <v>4</v>
    <v>0</v>
    <v>0</v>
    <v>ShardofaFoulLegacy</v>
  </rv>
  <rv s="2">
    <v>306</v>
    <v>1</v>
    <v>0</v>
    <v>0</v>
    <v>CloudseamScale</v>
  </rv>
  <rv s="2">
    <v>307</v>
    <v>1</v>
    <v>0</v>
    <v>0</v>
    <v>FadingCandle</v>
  </rv>
  <rv s="2">
    <v>27</v>
    <v>1</v>
    <v>0</v>
    <v>0</v>
    <v>PhilosophiesofIngenuity</v>
  </rv>
  <rv s="2">
    <v>29</v>
    <v>1</v>
    <v>0</v>
    <v>0</v>
    <v>SandGreasePupa</v>
  </rv>
  <rv s="2">
    <v>308</v>
    <v>1</v>
    <v>0</v>
    <v>0</v>
    <v>PrithivaTopazFragment</v>
  </rv>
  <rv s="2">
    <v>309</v>
    <v>1</v>
    <v>0</v>
    <v>0</v>
    <v>DebateClub</v>
  </rv>
  <rv s="2">
    <v>310</v>
    <v>1</v>
    <v>0</v>
    <v>0</v>
    <v>NarukamisJoy</v>
  </rv>
  <rv s="2">
    <v>311</v>
    <v>1</v>
    <v>0</v>
    <v>0</v>
    <v>Faruzan</v>
  </rv>
  <rv s="2">
    <v>242</v>
    <v>4</v>
    <v>0</v>
    <v>0</v>
    <v>LightGuidingTetrahedron</v>
  </rv>
  <rv s="2">
    <v>236</v>
    <v>4</v>
    <v>0</v>
    <v>0</v>
    <v>PuppetStrings</v>
  </rv>
  <rv s="2">
    <v>312</v>
    <v>4</v>
    <v>0</v>
    <v>0</v>
    <v>PhilosophiesofAdmonition</v>
  </rv>
  <rv s="2">
    <v>313</v>
    <v>1</v>
    <v>0</v>
    <v>0</v>
    <v>FragmentofaGoldenMelody</v>
  </rv>
  <rv s="2">
    <v>314</v>
    <v>1</v>
    <v>0</v>
    <v>0</v>
    <v>TeachingsofAdmonition</v>
  </rv>
  <rv s="2">
    <v>315</v>
    <v>1</v>
    <v>0</v>
    <v>0</v>
    <v>SangoPearl</v>
  </rv>
  <rv s="2">
    <v>316</v>
    <v>1</v>
    <v>0</v>
    <v>0</v>
    <v>PrithivaTopazChunk</v>
  </rv>
  <rv s="2">
    <v>317</v>
    <v>1</v>
    <v>0</v>
    <v>0</v>
    <v>DialoguesoftheDesertSages</v>
  </rv>
  <rv s="2">
    <v>318</v>
    <v>1</v>
    <v>0</v>
    <v>0</v>
    <v>NarukamisAffection</v>
  </rv>
  <rv s="2">
    <v>319</v>
    <v>1</v>
    <v>0</v>
    <v>0</v>
    <v>Fischl</v>
  </rv>
  <rv s="2">
    <v>320</v>
    <v>1</v>
    <v>0</v>
    <v>0</v>
    <v>GuidetoAdmonition</v>
  </rv>
  <rv s="2">
    <v>321</v>
    <v>1</v>
    <v>0</v>
    <v>0</v>
    <v>Scarab</v>
  </rv>
  <rv s="2">
    <v>9</v>
    <v>1</v>
    <v>0</v>
    <v>0</v>
    <v>PrithivaTopazGemstone</v>
  </rv>
  <rv s="2">
    <v>322</v>
    <v>1</v>
    <v>0</v>
    <v>0</v>
    <v>DodocoTales</v>
  </rv>
  <rv s="2">
    <v>323</v>
    <v>1</v>
    <v>0</v>
    <v>0</v>
    <v>NarukamisValor</v>
  </rv>
  <rv s="2">
    <v>324</v>
    <v>1</v>
    <v>0</v>
    <v>0</v>
    <v>Ganyu</v>
  </rv>
  <rv s="2">
    <v>133</v>
    <v>4</v>
    <v>0</v>
    <v>0</v>
    <v>ShadowoftheWarrior</v>
  </rv>
  <rv s="2">
    <v>273</v>
    <v>4</v>
    <v>0</v>
    <v>0</v>
    <v>Qingxin</v>
  </rv>
  <rv s="2">
    <v>312</v>
    <v>1</v>
    <v>0</v>
    <v>0</v>
    <v>PhilosophiesofAdmonition</v>
  </rv>
  <rv s="2">
    <v>131</v>
    <v>1</v>
    <v>0</v>
    <v>0</v>
    <v>SeaGanoderma</v>
  </rv>
  <rv s="2">
    <v>325</v>
    <v>1</v>
    <v>0</v>
    <v>0</v>
    <v>DragonsBane</v>
  </rv>
  <rv s="2">
    <v>326</v>
    <v>1</v>
    <v>0</v>
    <v>0</v>
    <v>MaskoftheWickedLieutenant</v>
  </rv>
  <rv s="2">
    <v>327</v>
    <v>1</v>
    <v>0</v>
    <v>0</v>
    <v>Gorou</v>
  </rv>
  <rv s="2">
    <v>315</v>
    <v>4</v>
    <v>0</v>
    <v>0</v>
    <v>SangoPearl</v>
  </rv>
  <rv s="2">
    <v>328</v>
    <v>1</v>
    <v>0</v>
    <v>0</v>
    <v>TeachingsofPraxis</v>
  </rv>
  <rv s="2">
    <v>278</v>
    <v>1</v>
    <v>0</v>
    <v>0</v>
    <v>SilkFlower</v>
  </rv>
  <rv s="2">
    <v>329</v>
    <v>1</v>
    <v>0</v>
    <v>0</v>
    <v>DragonspineSpear</v>
  </rv>
  <rv s="2">
    <v>330</v>
    <v>1</v>
    <v>0</v>
    <v>0</v>
    <v>MaskoftheTigersBite</v>
  </rv>
  <rv s="2">
    <v>331</v>
    <v>1</v>
    <v>0</v>
    <v>0</v>
    <v>KujouSara</v>
  </rv>
  <rv s="2">
    <v>184</v>
    <v>4</v>
    <v>0</v>
    <v>0</v>
    <v>StormBeads</v>
  </rv>
  <rv s="2">
    <v>199</v>
    <v>4</v>
    <v>0</v>
    <v>0</v>
    <v>AshenHeart</v>
  </rv>
  <rv s="2">
    <v>145</v>
    <v>4</v>
    <v>0</v>
    <v>0</v>
    <v>Dendrobium</v>
  </rv>
  <rv s="2">
    <v>332</v>
    <v>1</v>
    <v>0</v>
    <v>0</v>
    <v>GuidetoPraxis</v>
  </rv>
  <rv s="2">
    <v>293</v>
    <v>1</v>
    <v>0</v>
    <v>0</v>
    <v>SmallLampGrass</v>
  </rv>
  <rv s="2">
    <v>333</v>
    <v>1</v>
    <v>0</v>
    <v>0</v>
    <v>ElegyfortheEnd</v>
  </rv>
  <rv s="2">
    <v>334</v>
    <v>1</v>
    <v>0</v>
    <v>0</v>
    <v>MaskoftheOneHorned</v>
  </rv>
  <rv s="2">
    <v>335</v>
    <v>1</v>
    <v>0</v>
    <v>0</v>
    <v>Lyney</v>
  </rv>
  <rv s="2">
    <v>279</v>
    <v>4</v>
    <v>0</v>
    <v>0</v>
    <v>EmperorsResolution</v>
  </rv>
  <rv s="2">
    <v>254</v>
    <v>4</v>
    <v>0</v>
    <v>0</v>
    <v>PrimordialGreenbloom</v>
  </rv>
  <rv s="2">
    <v>336</v>
    <v>4</v>
    <v>0</v>
    <v>0</v>
    <v>PhilosophiesofEquity</v>
  </rv>
  <rv s="2">
    <v>105</v>
    <v>4</v>
    <v>0</v>
    <v>0</v>
    <v>LieutenantsInsignia</v>
  </rv>
  <rv s="2">
    <v>282</v>
    <v>4</v>
    <v>0</v>
    <v>0</v>
    <v>RainbowRose</v>
  </rv>
  <rv s="2">
    <v>220</v>
    <v>1</v>
    <v>0</v>
    <v>0</v>
    <v>PhilosophiesofPraxis</v>
  </rv>
  <rv s="2">
    <v>337</v>
    <v>1</v>
    <v>0</v>
    <v>0</v>
    <v>SpringoftheFirstDewdrop</v>
  </rv>
  <rv s="2">
    <v>338</v>
    <v>1</v>
    <v>0</v>
    <v>0</v>
    <v>EmeraldOrb</v>
  </rv>
  <rv s="2">
    <v>339</v>
    <v>1</v>
    <v>0</v>
    <v>0</v>
    <v>MaskoftheKijin</v>
  </rv>
  <rv s="2">
    <v>340</v>
    <v>1</v>
    <v>0</v>
    <v>0</v>
    <v>Sethos</v>
  </rv>
  <rv s="2">
    <v>306</v>
    <v>4</v>
    <v>0</v>
    <v>0</v>
    <v>CloudseamScale</v>
  </rv>
  <rv s="2">
    <v>243</v>
    <v>4</v>
    <v>0</v>
    <v>0</v>
    <v>DakasBell</v>
  </rv>
  <rv s="2">
    <v>341</v>
    <v>4</v>
    <v>0</v>
    <v>0</v>
    <v>Trishiraite</v>
  </rv>
  <rv s="2">
    <v>342</v>
    <v>1</v>
    <v>0</v>
    <v>0</v>
    <v>TeachingsofJustice</v>
  </rv>
  <rv s="2">
    <v>343</v>
    <v>1</v>
    <v>0</v>
    <v>0</v>
    <v>Starconch</v>
  </rv>
  <rv s="2">
    <v>344</v>
    <v>1</v>
    <v>0</v>
    <v>0</v>
    <v>EndoftheLine</v>
  </rv>
  <rv s="2">
    <v>345</v>
    <v>1</v>
    <v>0</v>
    <v>0</v>
    <v>CopperTalismanoftheForestDew</v>
  </rv>
  <rv s="2">
    <v>346</v>
    <v>1</v>
    <v>0</v>
    <v>0</v>
    <v>Tartaglia</v>
  </rv>
  <rv s="2">
    <v>343</v>
    <v>4</v>
    <v>0</v>
    <v>0</v>
    <v>Starconch</v>
  </rv>
  <rv s="2">
    <v>347</v>
    <v>1</v>
    <v>0</v>
    <v>0</v>
    <v>GuidetoJustice</v>
  </rv>
  <rv s="2">
    <v>348</v>
    <v>1</v>
    <v>0</v>
    <v>0</v>
    <v>SubdetectionUnit</v>
  </rv>
  <rv s="2">
    <v>349</v>
    <v>1</v>
    <v>0</v>
    <v>0</v>
    <v>EngulfingLightning</v>
  </rv>
  <rv s="2">
    <v>350</v>
    <v>1</v>
    <v>0</v>
    <v>0</v>
    <v>IronTalismanoftheForestDew</v>
  </rv>
  <rv s="2">
    <v>351</v>
    <v>1</v>
    <v>0</v>
    <v>0</v>
    <v>Tighnari</v>
  </rv>
  <rv s="2">
    <v>223</v>
    <v>4</v>
    <v>0</v>
    <v>0</v>
    <v>TheMeaningofAeons</v>
  </rv>
  <rv s="2">
    <v>82</v>
    <v>1</v>
    <v>0</v>
    <v>0</v>
    <v>PhilosophiesofJustice</v>
  </rv>
  <rv s="2">
    <v>341</v>
    <v>1</v>
    <v>0</v>
    <v>0</v>
    <v>Trishiraite</v>
  </rv>
  <rv s="2">
    <v>352</v>
    <v>1</v>
    <v>0</v>
    <v>0</v>
    <v>EverlastingMoonglow</v>
  </rv>
  <rv s="2">
    <v>353</v>
    <v>1</v>
    <v>0</v>
    <v>0</v>
    <v>SilverTalismanoftheForestDew</v>
  </rv>
  <rv s="2">
    <v>354</v>
    <v>1</v>
    <v>0</v>
    <v>0</v>
    <v>Venti</v>
  </rv>
  <rv s="2">
    <v>70</v>
    <v>4</v>
    <v>0</v>
    <v>0</v>
    <v>SlimeConcentrate</v>
  </rv>
  <rv s="2">
    <v>355</v>
    <v>1</v>
    <v>0</v>
    <v>0</v>
    <v>TeachingsofOrder</v>
  </rv>
  <rv s="2">
    <v>356</v>
    <v>1</v>
    <v>0</v>
    <v>0</v>
    <v>Valberry</v>
  </rv>
  <rv s="2">
    <v>357</v>
    <v>1</v>
    <v>0</v>
    <v>0</v>
    <v>EyeofPerception</v>
  </rv>
  <rv s="2">
    <v>358</v>
    <v>1</v>
    <v>0</v>
    <v>0</v>
    <v>GoldenTalismanoftheForestDew</v>
  </rv>
  <rv s="2">
    <v>359</v>
    <v>1</v>
    <v>0</v>
    <v>0</v>
    <v>Yelan</v>
  </rv>
  <rv s="2">
    <v>360</v>
    <v>1</v>
    <v>0</v>
    <v>0</v>
    <v>GuidetoOrder</v>
  </rv>
  <rv s="2">
    <v>229</v>
    <v>1</v>
    <v>0</v>
    <v>0</v>
    <v>Violetgrass</v>
  </rv>
  <rv s="2">
    <v>361</v>
    <v>1</v>
    <v>0</v>
    <v>0</v>
    <v>FadingTwilight</v>
  </rv>
  <rv s="2">
    <v>362</v>
    <v>1</v>
    <v>0</v>
    <v>0</v>
    <v>OasisGardensReminiscence</v>
  </rv>
  <rv s="2">
    <v>363</v>
    <v>1</v>
    <v>0</v>
    <v>0</v>
    <v>Yoimiya</v>
  </rv>
  <rv s="2">
    <v>166</v>
    <v>4</v>
    <v>0</v>
    <v>0</v>
    <v>SmolderingPearl</v>
  </rv>
  <rv s="2">
    <v>154</v>
    <v>4</v>
    <v>0</v>
    <v>0</v>
    <v>DragonLordsCrown</v>
  </rv>
  <rv s="2">
    <v>214</v>
    <v>1</v>
    <v>0</v>
    <v>0</v>
    <v>PhilosophiesofOrder</v>
  </rv>
  <rv s="2">
    <v>49</v>
    <v>1</v>
    <v>0</v>
    <v>0</v>
    <v>WindwheelAster</v>
  </rv>
  <rv s="2">
    <v>364</v>
    <v>1</v>
    <v>0</v>
    <v>0</v>
    <v>FavoniusCodex</v>
  </rv>
  <rv s="2">
    <v>365</v>
    <v>1</v>
    <v>0</v>
    <v>0</v>
    <v>OasisGardensKindness</v>
  </rv>
  <rv s="2">
    <v>366</v>
    <v>1</v>
    <v>0</v>
    <v>0</v>
    <v>AratakiItto</v>
  </rv>
  <rv s="2">
    <v>40</v>
    <v>4</v>
    <v>0</v>
    <v>0</v>
    <v>claymore</v>
  </rv>
  <rv s="2">
    <v>198</v>
    <v>4</v>
    <v>0</v>
    <v>0</v>
    <v>RiftbornRegalia</v>
  </rv>
  <rv s="2">
    <v>256</v>
    <v>4</v>
    <v>0</v>
    <v>0</v>
    <v>Onikabuto</v>
  </rv>
  <rv s="2">
    <v>367</v>
    <v>1</v>
    <v>0</v>
    <v>0</v>
    <v>TeachingsofEquity</v>
  </rv>
  <rv s="2">
    <v>368</v>
    <v>1</v>
    <v>0</v>
    <v>0</v>
    <v>Wolfhook</v>
  </rv>
  <rv s="2">
    <v>369</v>
    <v>1</v>
    <v>0</v>
    <v>0</v>
    <v>FavoniusGreatsword</v>
  </rv>
  <rv s="2">
    <v>370</v>
    <v>1</v>
    <v>0</v>
    <v>0</v>
    <v>OasisGardensMourning</v>
  </rv>
  <rv s="2">
    <v>371</v>
    <v>1</v>
    <v>0</v>
    <v>0</v>
    <v>Beidou</v>
  </rv>
  <rv s="2">
    <v>249</v>
    <v>4</v>
    <v>0</v>
    <v>0</v>
    <v>NoctilucousJade</v>
  </rv>
  <rv s="2">
    <v>372</v>
    <v>1</v>
    <v>0</v>
    <v>0</v>
    <v>GuidetoEquity</v>
  </rv>
  <rv s="2">
    <v>373</v>
    <v>1</v>
    <v>0</v>
    <v>0</v>
    <v>FavoniusLance</v>
  </rv>
  <rv s="2">
    <v>374</v>
    <v>1</v>
    <v>0</v>
    <v>0</v>
    <v>OasisGardensTruth</v>
  </rv>
  <rv s="2">
    <v>375</v>
    <v>1</v>
    <v>0</v>
    <v>0</v>
    <v>Chongyun</v>
  </rv>
  <rv s="2">
    <v>336</v>
    <v>1</v>
    <v>0</v>
    <v>0</v>
    <v>PhilosophiesofEquity</v>
  </rv>
  <rv s="2">
    <v>376</v>
    <v>1</v>
    <v>0</v>
    <v>0</v>
    <v>FavoniusSword</v>
  </rv>
  <rv s="2">
    <v>377</v>
    <v>1</v>
    <v>0</v>
    <v>0</v>
    <v>EchoofScorchingMight</v>
  </rv>
  <rv s="2">
    <v>378</v>
    <v>1</v>
    <v>0</v>
    <v>0</v>
    <v>Dehya</v>
  </rv>
  <rv s="2">
    <v>379</v>
    <v>1</v>
    <v>0</v>
    <v>0</v>
    <v>FavoniusWarbow</v>
  </rv>
  <rv s="2">
    <v>380</v>
    <v>1</v>
    <v>0</v>
    <v>0</v>
    <v>RemnantGlowofScorchingMight</v>
  </rv>
  <rv s="2">
    <v>381</v>
    <v>1</v>
    <v>0</v>
    <v>0</v>
    <v>Diluc</v>
  </rv>
  <rv s="2">
    <v>382</v>
    <v>1</v>
    <v>0</v>
    <v>0</v>
    <v>FerrousShadow</v>
  </rv>
  <rv s="2">
    <v>383</v>
    <v>1</v>
    <v>0</v>
    <v>0</v>
    <v>DreamofScorchingMight</v>
  </rv>
  <rv s="2">
    <v>384</v>
    <v>1</v>
    <v>0</v>
    <v>0</v>
    <v>Dori</v>
  </rv>
  <rv s="2">
    <v>222</v>
    <v>4</v>
    <v>0</v>
    <v>0</v>
    <v>ThunderclapFruitcore</v>
  </rv>
  <rv s="2">
    <v>201</v>
    <v>4</v>
    <v>0</v>
    <v>0</v>
    <v>KalpalataLotus</v>
  </rv>
  <rv s="2">
    <v>385</v>
    <v>1</v>
    <v>0</v>
    <v>0</v>
    <v>FesteringDesire</v>
  </rv>
  <rv s="2">
    <v>386</v>
    <v>1</v>
    <v>0</v>
    <v>0</v>
    <v>OldenDaysofScorchingMight</v>
  </rv>
  <rv s="2">
    <v>387</v>
    <v>1</v>
    <v>0</v>
    <v>0</v>
    <v>Eula</v>
  </rv>
  <rv s="2">
    <v>388</v>
    <v>1</v>
    <v>0</v>
    <v>0</v>
    <v>FilletBlade</v>
  </rv>
  <rv s="2">
    <v>389</v>
    <v>1</v>
    <v>0</v>
    <v>0</v>
    <v>FragmentofanAncientChord</v>
  </rv>
  <rv s="2">
    <v>390</v>
    <v>1</v>
    <v>0</v>
    <v>0</v>
    <v>Freminet</v>
  </rv>
  <rv s="2">
    <v>271</v>
    <v>4</v>
    <v>0</v>
    <v>0</v>
    <v>ArtificedSpareClockworkComponentCoppelius</v>
  </rv>
  <rv s="2">
    <v>266</v>
    <v>4</v>
    <v>0</v>
    <v>0</v>
    <v>WorldspanFern</v>
  </rv>
  <rv s="2">
    <v>288</v>
    <v>4</v>
    <v>0</v>
    <v>0</v>
    <v>RomaritimeFlower</v>
  </rv>
  <rv s="2">
    <v>391</v>
    <v>1</v>
    <v>0</v>
    <v>0</v>
    <v>FinaleoftheDeep</v>
  </rv>
  <rv s="2">
    <v>392</v>
    <v>1</v>
    <v>0</v>
    <v>0</v>
    <v>ChapterofanAncientChord</v>
  </rv>
  <rv s="2">
    <v>393</v>
    <v>1</v>
    <v>0</v>
    <v>0</v>
    <v>Gaming</v>
  </rv>
  <rv s="2">
    <v>394</v>
    <v>1</v>
    <v>0</v>
    <v>0</v>
    <v>FleuveCendreFerryman</v>
  </rv>
  <rv s="2">
    <v>395</v>
    <v>1</v>
    <v>0</v>
    <v>0</v>
    <v>MovementofanAncientChord</v>
  </rv>
  <rv s="2">
    <v>396</v>
    <v>1</v>
    <v>0</v>
    <v>0</v>
    <v>Kaveh</v>
  </rv>
  <rv s="2">
    <v>248</v>
    <v>4</v>
    <v>0</v>
    <v>0</v>
    <v>QuelledCreeper</v>
  </rv>
  <rv s="2">
    <v>231</v>
    <v>4</v>
    <v>0</v>
    <v>0</v>
    <v>MourningFlower</v>
  </rv>
  <rv s="2">
    <v>397</v>
    <v>1</v>
    <v>0</v>
    <v>0</v>
    <v>FlowingPurity</v>
  </rv>
  <rv s="2">
    <v>398</v>
    <v>1</v>
    <v>0</v>
    <v>0</v>
    <v>EchoofanAncientChord</v>
  </rv>
  <rv s="2">
    <v>399</v>
    <v>1</v>
    <v>0</v>
    <v>0</v>
    <v>Navia</v>
  </rv>
  <rv s="2">
    <v>337</v>
    <v>4</v>
    <v>0</v>
    <v>0</v>
    <v>SpringoftheFirstDewdrop</v>
  </rv>
  <rv s="2">
    <v>400</v>
    <v>1</v>
    <v>0</v>
    <v>0</v>
    <v>ForestRegalia</v>
  </rv>
  <rv s="2">
    <v>401</v>
    <v>1</v>
    <v>0</v>
    <v>0</v>
    <v>DrossofPureSacredDewdrop</v>
  </rv>
  <rv s="2">
    <v>402</v>
    <v>1</v>
    <v>0</v>
    <v>0</v>
    <v>Noelle</v>
  </rv>
  <rv s="2">
    <v>32</v>
    <v>4</v>
    <v>0</v>
    <v>0</v>
    <v>DvalinsClaw</v>
  </rv>
  <rv s="2">
    <v>356</v>
    <v>4</v>
    <v>0</v>
    <v>0</v>
    <v>Valberry</v>
  </rv>
  <rv s="2">
    <v>403</v>
    <v>1</v>
    <v>0</v>
    <v>0</v>
    <v>FreedomSworn</v>
  </rv>
  <rv s="2">
    <v>404</v>
    <v>1</v>
    <v>0</v>
    <v>0</v>
    <v>SublimationofPureSacredDewdrop</v>
  </rv>
  <rv s="2">
    <v>405</v>
    <v>1</v>
    <v>0</v>
    <v>0</v>
    <v>Razor</v>
  </rv>
  <rv s="2">
    <v>368</v>
    <v>4</v>
    <v>0</v>
    <v>0</v>
    <v>Wolfhook</v>
  </rv>
  <rv s="2">
    <v>406</v>
    <v>1</v>
    <v>0</v>
    <v>0</v>
    <v>Frostbearer</v>
  </rv>
  <rv s="2">
    <v>407</v>
    <v>1</v>
    <v>0</v>
    <v>0</v>
    <v>SpringofPureSacredDewdrop</v>
  </rv>
  <rv s="2">
    <v>408</v>
    <v>1</v>
    <v>0</v>
    <v>0</v>
    <v>Sayu</v>
  </rv>
  <rv s="2">
    <v>409</v>
    <v>1</v>
    <v>0</v>
    <v>0</v>
    <v>FruitofFulfillment</v>
  </rv>
  <rv s="2">
    <v>410</v>
    <v>1</v>
    <v>0</v>
    <v>0</v>
    <v>EssenceofPureSacredDewdrop</v>
  </rv>
  <rv s="2">
    <v>411</v>
    <v>1</v>
    <v>0</v>
    <v>0</v>
    <v>Xinyan</v>
  </rv>
  <rv s="2">
    <v>412</v>
    <v>1</v>
    <v>0</v>
    <v>0</v>
    <v>HakushinRing</v>
  </rv>
  <rv s="2">
    <v>413</v>
    <v>1</v>
    <v>0</v>
    <v>0</v>
    <v>BrokenGobletofthePristineSea</v>
  </rv>
  <rv s="2">
    <v>414</v>
    <v>1</v>
    <v>0</v>
    <v>0</v>
    <v>Arlecchino</v>
  </rv>
  <rv s="2">
    <v>58</v>
    <v>4</v>
    <v>0</v>
    <v>0</v>
    <v>polearm</v>
  </rv>
  <rv s="2">
    <v>313</v>
    <v>4</v>
    <v>0</v>
    <v>0</v>
    <v>FragmentofaGoldenMelody</v>
  </rv>
  <rv s="2">
    <v>307</v>
    <v>4</v>
    <v>0</v>
    <v>0</v>
    <v>FadingCandle</v>
  </rv>
  <rv s="2">
    <v>415</v>
    <v>1</v>
    <v>0</v>
    <v>0</v>
    <v>Halberd</v>
  </rv>
  <rv s="2">
    <v>416</v>
    <v>1</v>
    <v>0</v>
    <v>0</v>
    <v>WineGobletofthePristineSea</v>
  </rv>
  <rv s="2">
    <v>417</v>
    <v>1</v>
    <v>0</v>
    <v>0</v>
    <v>Baizhu</v>
  </rv>
  <rv s="2">
    <v>94</v>
    <v>4</v>
    <v>0</v>
    <v>0</v>
    <v>catalyst</v>
  </rv>
  <rv s="2">
    <v>418</v>
    <v>1</v>
    <v>0</v>
    <v>0</v>
    <v>Hamayumi</v>
  </rv>
  <rv s="2">
    <v>419</v>
    <v>1</v>
    <v>0</v>
    <v>0</v>
    <v>SilverGobletofthePristineSea</v>
  </rv>
  <rv s="2">
    <v>420</v>
    <v>1</v>
    <v>0</v>
    <v>0</v>
    <v>Barbara</v>
  </rv>
  <rv s="2">
    <v>267</v>
    <v>4</v>
    <v>0</v>
    <v>0</v>
    <v>PhilanemoMushroom</v>
  </rv>
  <rv s="2">
    <v>421</v>
    <v>1</v>
    <v>0</v>
    <v>0</v>
    <v>HaranGeppakuFutsu</v>
  </rv>
  <rv s="2">
    <v>422</v>
    <v>1</v>
    <v>0</v>
    <v>0</v>
    <v>GoldenGobletofthePristineSea</v>
  </rv>
  <rv s="2">
    <v>423</v>
    <v>1</v>
    <v>0</v>
    <v>0</v>
    <v>Charlotte</v>
  </rv>
  <rv s="2">
    <v>287</v>
    <v>4</v>
    <v>0</v>
    <v>0</v>
    <v>TourbillonDevice</v>
  </rv>
  <rv s="2">
    <v>37</v>
    <v>4</v>
    <v>0</v>
    <v>0</v>
    <v>BerylConch</v>
  </rv>
  <rv s="2">
    <v>424</v>
    <v>1</v>
    <v>0</v>
    <v>0</v>
    <v>HarbingerofDawn</v>
  </rv>
  <rv s="2">
    <v>425</v>
    <v>1</v>
    <v>0</v>
    <v>0</v>
    <v>Klee</v>
  </rv>
  <rv s="2">
    <v>426</v>
    <v>1</v>
    <v>0</v>
    <v>0</v>
    <v>HuntersPath</v>
  </rv>
  <rv s="2">
    <v>427</v>
    <v>1</v>
    <v>0</v>
    <v>0</v>
    <v>Lisa</v>
  </rv>
  <rv s="2">
    <v>428</v>
    <v>1</v>
    <v>0</v>
    <v>0</v>
    <v>IbisPiercer</v>
  </rv>
  <rv s="2">
    <v>429</v>
    <v>1</v>
    <v>0</v>
    <v>0</v>
    <v>Mona</v>
  </rv>
  <rv s="2">
    <v>430</v>
    <v>1</v>
    <v>0</v>
    <v>0</v>
    <v>IronSting</v>
  </rv>
  <rv s="2">
    <v>431</v>
    <v>1</v>
    <v>0</v>
    <v>0</v>
    <v>Nahida</v>
  </rv>
  <rv s="2">
    <v>432</v>
    <v>1</v>
    <v>0</v>
    <v>0</v>
    <v>JadefallsSplendor</v>
  </rv>
  <rv s="2">
    <v>433</v>
    <v>1</v>
    <v>0</v>
    <v>0</v>
    <v>Neuvillette</v>
  </rv>
  <rv s="2">
    <v>434</v>
    <v>1</v>
    <v>0</v>
    <v>0</v>
    <v>KagotsurubeIsshin</v>
  </rv>
  <rv s="2">
    <v>435</v>
    <v>1</v>
    <v>0</v>
    <v>0</v>
    <v>Ningguang</v>
  </rv>
  <rv s="2">
    <v>170</v>
    <v>4</v>
    <v>0</v>
    <v>0</v>
    <v>GlazeLily</v>
  </rv>
  <rv s="2">
    <v>436</v>
    <v>1</v>
    <v>0</v>
    <v>0</v>
    <v>KagurasVerity</v>
  </rv>
  <rv s="2">
    <v>437</v>
    <v>1</v>
    <v>0</v>
    <v>0</v>
    <v>SangonomiyaKokomi</v>
  </rv>
  <rv s="2">
    <v>185</v>
    <v>4</v>
    <v>0</v>
    <v>0</v>
    <v>HellfireButterfly</v>
  </rv>
  <rv s="2">
    <v>438</v>
    <v>1</v>
    <v>0</v>
    <v>0</v>
    <v>KatsuragikiriNagamasa</v>
  </rv>
  <rv s="2">
    <v>439</v>
    <v>1</v>
    <v>0</v>
    <v>0</v>
    <v>ShikanoinHeizou</v>
  </rv>
  <rv s="2">
    <v>440</v>
    <v>1</v>
    <v>0</v>
    <v>0</v>
    <v>KeyofKhajNisut</v>
  </rv>
  <rv s="2">
    <v>441</v>
    <v>1</v>
    <v>0</v>
    <v>0</v>
    <v>Sucrose</v>
  </rv>
  <rv s="2">
    <v>442</v>
    <v>1</v>
    <v>0</v>
    <v>0</v>
    <v>KingsSquire</v>
  </rv>
  <rv s="2">
    <v>443</v>
    <v>1</v>
    <v>0</v>
    <v>0</v>
    <v>Wanderer</v>
  </rv>
  <rv s="2">
    <v>444</v>
    <v>1</v>
    <v>0</v>
    <v>0</v>
    <v>KitainCrossSpear</v>
  </rv>
  <rv s="2">
    <v>445</v>
    <v>1</v>
    <v>0</v>
    <v>0</v>
    <v>Wriothesley</v>
  </rv>
  <rv s="2">
    <v>348</v>
    <v>4</v>
    <v>0</v>
    <v>0</v>
    <v>SubdetectionUnit</v>
  </rv>
  <rv s="2">
    <v>446</v>
    <v>1</v>
    <v>0</v>
    <v>0</v>
    <v>LightofFoliarIncision</v>
  </rv>
  <rv s="2">
    <v>447</v>
    <v>1</v>
    <v>0</v>
    <v>0</v>
    <v>Xianyun</v>
  </rv>
  <rv s="2">
    <v>280</v>
    <v>4</v>
    <v>0</v>
    <v>0</v>
    <v>LightlessEyeoftheMaelstrom</v>
  </rv>
  <rv s="2">
    <v>91</v>
    <v>4</v>
    <v>0</v>
    <v>0</v>
    <v>ClearwaterJade</v>
  </rv>
  <rv s="2">
    <v>448</v>
    <v>1</v>
    <v>0</v>
    <v>0</v>
    <v>LionsRoar</v>
  </rv>
  <rv s="2">
    <v>449</v>
    <v>1</v>
    <v>0</v>
    <v>0</v>
    <v>YaeMiko</v>
  </rv>
  <rv s="2">
    <v>208</v>
    <v>4</v>
    <v>0</v>
    <v>0</v>
    <v>DragonheirsFalseFin</v>
  </rv>
  <rv s="2">
    <v>450</v>
    <v>1</v>
    <v>0</v>
    <v>0</v>
    <v>LithicBlade</v>
  </rv>
  <rv s="2">
    <v>451</v>
    <v>1</v>
    <v>0</v>
    <v>0</v>
    <v>Yanfei</v>
  </rv>
  <rv s="2">
    <v>116</v>
    <v>4</v>
    <v>0</v>
    <v>0</v>
    <v>JuvenileJade</v>
  </rv>
  <rv s="2">
    <v>452</v>
    <v>1</v>
    <v>0</v>
    <v>0</v>
    <v>LithicSpear</v>
  </rv>
  <rv s="2">
    <v>453</v>
    <v>1</v>
    <v>0</v>
    <v>0</v>
    <v>Candace</v>
  </rv>
  <rv s="2">
    <v>454</v>
    <v>1</v>
    <v>0</v>
    <v>0</v>
    <v>LostPrayertotheSacredWinds</v>
  </rv>
  <rv s="2">
    <v>455</v>
    <v>1</v>
    <v>0</v>
    <v>0</v>
    <v>Chevreuse</v>
  </rv>
  <rv s="2">
    <v>456</v>
    <v>1</v>
    <v>0</v>
    <v>0</v>
    <v>LuxuriousSeaLord</v>
  </rv>
  <rv s="2">
    <v>457</v>
    <v>1</v>
    <v>0</v>
    <v>0</v>
    <v>Cyno</v>
  </rv>
  <rv s="2">
    <v>321</v>
    <v>4</v>
    <v>0</v>
    <v>0</v>
    <v>Scarab</v>
  </rv>
  <rv s="2">
    <v>458</v>
    <v>1</v>
    <v>0</v>
    <v>0</v>
    <v>MagicGuide</v>
  </rv>
  <rv s="2">
    <v>459</v>
    <v>1</v>
    <v>0</v>
    <v>0</v>
    <v>HuTao</v>
  </rv>
  <rv s="2">
    <v>460</v>
    <v>1</v>
    <v>0</v>
    <v>0</v>
    <v>MailedFlower</v>
  </rv>
  <rv s="2">
    <v>461</v>
    <v>1</v>
    <v>0</v>
    <v>0</v>
    <v>Mika</v>
  </rv>
  <rv s="2">
    <v>462</v>
    <v>1</v>
    <v>0</v>
    <v>0</v>
    <v>MakhairaAquamarine</v>
  </rv>
  <rv s="2">
    <v>463</v>
    <v>1</v>
    <v>0</v>
    <v>0</v>
    <v>RaidenShogun</v>
  </rv>
  <rv s="2">
    <v>464</v>
    <v>1</v>
    <v>0</v>
    <v>0</v>
    <v>MappaMare</v>
  </rv>
  <rv s="2">
    <v>465</v>
    <v>1</v>
    <v>0</v>
    <v>0</v>
    <v>Rosaria</v>
  </rv>
  <rv s="2">
    <v>466</v>
    <v>1</v>
    <v>0</v>
    <v>0</v>
    <v>MemoryofDust</v>
  </rv>
  <rv s="2">
    <v>467</v>
    <v>1</v>
    <v>0</v>
    <v>0</v>
    <v>Shenhe</v>
  </rv>
  <rv s="2">
    <v>468</v>
    <v>1</v>
    <v>0</v>
    <v>0</v>
    <v>Messenger</v>
  </rv>
  <rv s="2">
    <v>469</v>
    <v>1</v>
    <v>0</v>
    <v>0</v>
    <v>Thoma</v>
  </rv>
  <rv s="2">
    <v>159</v>
    <v>4</v>
    <v>0</v>
    <v>0</v>
    <v>FluorescentFungus</v>
  </rv>
  <rv s="2">
    <v>470</v>
    <v>1</v>
    <v>0</v>
    <v>0</v>
    <v>MissiveWindspear</v>
  </rv>
  <rv s="2">
    <v>471</v>
    <v>1</v>
    <v>0</v>
    <v>0</v>
    <v>Xiangling</v>
  </rv>
  <rv s="2">
    <v>190</v>
    <v>4</v>
    <v>0</v>
    <v>0</v>
    <v>JueyunChili</v>
  </rv>
  <rv s="2">
    <v>472</v>
    <v>1</v>
    <v>0</v>
    <v>0</v>
    <v>MistsplitterReforged</v>
  </rv>
  <rv s="2">
    <v>473</v>
    <v>1</v>
    <v>0</v>
    <v>0</v>
    <v>Xiao</v>
  </rv>
  <rv s="2">
    <v>474</v>
    <v>1</v>
    <v>0</v>
    <v>0</v>
    <v>MitternachtsWaltz</v>
  </rv>
  <rv s="2">
    <v>475</v>
    <v>1</v>
    <v>0</v>
    <v>0</v>
    <v>Yaoyao</v>
  </rv>
  <rv s="2">
    <v>476</v>
    <v>1</v>
    <v>0</v>
    <v>0</v>
    <v>Moonpiercer</v>
  </rv>
  <rv s="2">
    <v>477</v>
    <v>1</v>
    <v>0</v>
    <v>0</v>
    <v>YunJin</v>
  </rv>
  <rv s="2">
    <v>478</v>
    <v>1</v>
    <v>0</v>
    <v>0</v>
    <v>MouunsMoon</v>
  </rv>
  <rv s="2">
    <v>479</v>
    <v>1</v>
    <v>0</v>
    <v>0</v>
    <v>Zhongli</v>
  </rv>
  <rv s="2">
    <v>480</v>
    <v>1</v>
    <v>0</v>
    <v>0</v>
    <v>OathswornEye</v>
  </rv>
  <rv s="2">
    <v>481</v>
    <v>1</v>
    <v>0</v>
    <v>0</v>
    <v>OtherworldlyStory</v>
  </rv>
  <rv s="2">
    <v>482</v>
    <v>1</v>
    <v>0</v>
    <v>0</v>
    <v>PolarStar</v>
  </rv>
  <rv s="2">
    <v>483</v>
    <v>1</v>
    <v>0</v>
    <v>0</v>
    <v>PortablePowerSaw</v>
  </rv>
  <rv s="2">
    <v>484</v>
    <v>1</v>
    <v>0</v>
    <v>0</v>
    <v>Predator</v>
  </rv>
  <rv s="2">
    <v>485</v>
    <v>1</v>
    <v>0</v>
    <v>0</v>
    <v>PrimordialJadeCutter</v>
  </rv>
  <rv s="2">
    <v>486</v>
    <v>1</v>
    <v>0</v>
    <v>0</v>
    <v>PrimordialJadeWingedSpear</v>
  </rv>
  <rv s="2">
    <v>487</v>
    <v>1</v>
    <v>0</v>
    <v>0</v>
    <v>ProspectorsDrill</v>
  </rv>
  <rv s="2">
    <v>488</v>
    <v>1</v>
    <v>0</v>
    <v>0</v>
    <v>PrototypeAmber</v>
  </rv>
  <rv s="2">
    <v>489</v>
    <v>1</v>
    <v>0</v>
    <v>0</v>
    <v>PrototypeArchaic</v>
  </rv>
  <rv s="2">
    <v>490</v>
    <v>1</v>
    <v>0</v>
    <v>0</v>
    <v>PrototypeCrescent</v>
  </rv>
  <rv s="2">
    <v>491</v>
    <v>1</v>
    <v>0</v>
    <v>0</v>
    <v>PrototypeRancour</v>
  </rv>
  <rv s="2">
    <v>492</v>
    <v>1</v>
    <v>0</v>
    <v>0</v>
    <v>PrototypeStarglitter</v>
  </rv>
  <rv s="2">
    <v>493</v>
    <v>1</v>
    <v>0</v>
    <v>0</v>
    <v>Rainslasher</v>
  </rv>
  <rv s="2">
    <v>494</v>
    <v>1</v>
    <v>0</v>
    <v>0</v>
    <v>RangeGauge</v>
  </rv>
  <rv s="2">
    <v>495</v>
    <v>1</v>
    <v>0</v>
    <v>0</v>
    <v>RavenBow</v>
  </rv>
  <rv s="2">
    <v>496</v>
    <v>1</v>
    <v>0</v>
    <v>0</v>
    <v>RecurveBow</v>
  </rv>
  <rv s="2">
    <v>497</v>
    <v>1</v>
    <v>0</v>
    <v>0</v>
    <v>RedhornStonethresher</v>
  </rv>
  <rv s="2">
    <v>498</v>
    <v>1</v>
    <v>0</v>
    <v>0</v>
    <v>RightfulReward</v>
  </rv>
  <rv s="2">
    <v>499</v>
    <v>1</v>
    <v>0</v>
    <v>0</v>
    <v>RoyalBow</v>
  </rv>
  <rv s="2">
    <v>500</v>
    <v>1</v>
    <v>0</v>
    <v>0</v>
    <v>RoyalGreatsword</v>
  </rv>
  <rv s="2">
    <v>501</v>
    <v>1</v>
    <v>0</v>
    <v>0</v>
    <v>RoyalGrimoire</v>
  </rv>
  <rv s="2">
    <v>502</v>
    <v>1</v>
    <v>0</v>
    <v>0</v>
    <v>RoyalLongsword</v>
  </rv>
  <rv s="2">
    <v>503</v>
    <v>1</v>
    <v>0</v>
    <v>0</v>
    <v>RoyalSpear</v>
  </rv>
  <rv s="2">
    <v>504</v>
    <v>1</v>
    <v>0</v>
    <v>0</v>
    <v>Rust</v>
  </rv>
  <rv s="2">
    <v>505</v>
    <v>1</v>
    <v>0</v>
    <v>0</v>
    <v>SacrificialBow</v>
  </rv>
  <rv s="2">
    <v>506</v>
    <v>1</v>
    <v>0</v>
    <v>0</v>
    <v>SacrificialFragments</v>
  </rv>
  <rv s="2">
    <v>507</v>
    <v>1</v>
    <v>0</v>
    <v>0</v>
    <v>SacrificialGreatsword</v>
  </rv>
  <rv s="2">
    <v>508</v>
    <v>1</v>
    <v>0</v>
    <v>0</v>
    <v>SacrificialJade</v>
  </rv>
  <rv s="2">
    <v>509</v>
    <v>1</v>
    <v>0</v>
    <v>0</v>
    <v>SacrificialSword</v>
  </rv>
  <rv s="2">
    <v>510</v>
    <v>1</v>
    <v>0</v>
    <v>0</v>
    <v>SapwoodBlade</v>
  </rv>
  <rv s="2">
    <v>511</v>
    <v>1</v>
    <v>0</v>
    <v>0</v>
    <v>ScionoftheBlazingSun</v>
  </rv>
  <rv s="2">
    <v>512</v>
    <v>1</v>
    <v>0</v>
    <v>0</v>
    <v>SerpentSpine</v>
  </rv>
  <rv s="2">
    <v>513</v>
    <v>1</v>
    <v>0</v>
    <v>0</v>
    <v>SharpshootersOath</v>
  </rv>
  <rv s="2">
    <v>514</v>
    <v>1</v>
    <v>0</v>
    <v>0</v>
    <v>SkyriderGreatsword</v>
  </rv>
  <rv s="2">
    <v>515</v>
    <v>1</v>
    <v>0</v>
    <v>0</v>
    <v>SkyriderSword</v>
  </rv>
  <rv s="2">
    <v>516</v>
    <v>1</v>
    <v>0</v>
    <v>0</v>
    <v>SkywardAtlas</v>
  </rv>
  <rv s="2">
    <v>517</v>
    <v>1</v>
    <v>0</v>
    <v>0</v>
    <v>SkywardBlade</v>
  </rv>
  <rv s="2">
    <v>518</v>
    <v>1</v>
    <v>0</v>
    <v>0</v>
    <v>SkywardHarp</v>
  </rv>
  <rv s="2">
    <v>519</v>
    <v>1</v>
    <v>0</v>
    <v>0</v>
    <v>SkywardPride</v>
  </rv>
  <rv s="2">
    <v>520</v>
    <v>1</v>
    <v>0</v>
    <v>0</v>
    <v>SkywardSpine</v>
  </rv>
  <rv s="2">
    <v>521</v>
    <v>1</v>
    <v>0</v>
    <v>0</v>
    <v>Slingshot</v>
  </rv>
  <rv s="2">
    <v>522</v>
    <v>1</v>
    <v>0</v>
    <v>0</v>
    <v>SnowTombedStarsilver</v>
  </rv>
  <rv s="2">
    <v>523</v>
    <v>1</v>
    <v>0</v>
    <v>0</v>
    <v>SolarPearl</v>
  </rv>
  <rv s="2">
    <v>524</v>
    <v>1</v>
    <v>0</v>
    <v>0</v>
    <v>SongofBrokenPines</v>
  </rv>
  <rv s="2">
    <v>525</v>
    <v>1</v>
    <v>0</v>
    <v>0</v>
    <v>SongofStillness</v>
  </rv>
  <rv s="2">
    <v>526</v>
    <v>1</v>
    <v>0</v>
    <v>0</v>
    <v>SplendorofTranquilWaters</v>
  </rv>
  <rv s="2">
    <v>527</v>
    <v>1</v>
    <v>0</v>
    <v>0</v>
    <v>StaffofHoma</v>
  </rv>
  <rv s="2">
    <v>528</v>
    <v>1</v>
    <v>0</v>
    <v>0</v>
    <v>StaffoftheScarletSands</v>
  </rv>
  <rv s="2">
    <v>529</v>
    <v>1</v>
    <v>0</v>
    <v>0</v>
    <v>SummitShaper</v>
  </rv>
  <rv s="2">
    <v>530</v>
    <v>1</v>
    <v>0</v>
    <v>0</v>
    <v>SwordofDescension</v>
  </rv>
  <rv s="2">
    <v>531</v>
    <v>1</v>
    <v>0</v>
    <v>0</v>
    <v>SwordofNarzissenkreuz</v>
  </rv>
  <rv s="2">
    <v>532</v>
    <v>1</v>
    <v>0</v>
    <v>0</v>
    <v>TalkingStick</v>
  </rv>
  <rv s="2">
    <v>533</v>
    <v>1</v>
    <v>0</v>
    <v>0</v>
    <v>TheAlleyFlash</v>
  </rv>
  <rv s="2">
    <v>534</v>
    <v>1</v>
    <v>0</v>
    <v>0</v>
    <v>TheBell</v>
  </rv>
  <rv s="2">
    <v>535</v>
    <v>1</v>
    <v>0</v>
    <v>0</v>
    <v>TheBlackSword</v>
  </rv>
  <rv s="2">
    <v>536</v>
    <v>1</v>
    <v>0</v>
    <v>0</v>
    <v>TheCatch</v>
  </rv>
  <rv s="2">
    <v>537</v>
    <v>1</v>
    <v>0</v>
    <v>0</v>
    <v>TheDockhandsAssistant</v>
  </rv>
  <rv s="2">
    <v>538</v>
    <v>1</v>
    <v>0</v>
    <v>0</v>
    <v>TheFirstGreatMagic</v>
  </rv>
  <rv s="2">
    <v>539</v>
    <v>1</v>
    <v>0</v>
    <v>0</v>
    <v>TheFlute</v>
  </rv>
  <rv s="2">
    <v>540</v>
    <v>1</v>
    <v>0</v>
    <v>0</v>
    <v>TheStringless</v>
  </rv>
  <rv s="2">
    <v>541</v>
    <v>1</v>
    <v>0</v>
    <v>0</v>
    <v>TheUnforged</v>
  </rv>
  <rv s="2">
    <v>542</v>
    <v>1</v>
    <v>0</v>
    <v>0</v>
    <v>TheViridescentHunt</v>
  </rv>
  <rv s="2">
    <v>543</v>
    <v>1</v>
    <v>0</v>
    <v>0</v>
    <v>TheWidsith</v>
  </rv>
  <rv s="2">
    <v>544</v>
    <v>1</v>
    <v>0</v>
    <v>0</v>
    <v>ThrillingTalesofDragonSlayers</v>
  </rv>
  <rv s="2">
    <v>545</v>
    <v>1</v>
    <v>0</v>
    <v>0</v>
    <v>ThunderingPulse</v>
  </rv>
  <rv s="2">
    <v>546</v>
    <v>1</v>
    <v>0</v>
    <v>0</v>
    <v>TidalShadow</v>
  </rv>
  <rv s="2">
    <v>547</v>
    <v>1</v>
    <v>0</v>
    <v>0</v>
    <v>TomeoftheEternalFlow</v>
  </rv>
  <rv s="2">
    <v>548</v>
    <v>1</v>
    <v>0</v>
    <v>0</v>
    <v>ToukabouShigure</v>
  </rv>
  <rv s="2">
    <v>549</v>
    <v>1</v>
    <v>0</v>
    <v>0</v>
    <v>TravelersHandySword</v>
  </rv>
  <rv s="2">
    <v>550</v>
    <v>1</v>
    <v>0</v>
    <v>0</v>
    <v>TulaytullahsRemembrance</v>
  </rv>
  <rv s="2">
    <v>551</v>
    <v>1</v>
    <v>0</v>
    <v>0</v>
    <v>TwinNephrite</v>
  </rv>
  <rv s="2">
    <v>552</v>
    <v>1</v>
    <v>0</v>
    <v>0</v>
    <v>UltimateOverlordsMegaMagicSword</v>
  </rv>
  <rv s="2">
    <v>553</v>
    <v>1</v>
    <v>0</v>
    <v>0</v>
    <v>UrakuMisugiri</v>
  </rv>
  <rv s="2">
    <v>554</v>
    <v>1</v>
    <v>0</v>
    <v>0</v>
    <v>Verdict</v>
  </rv>
  <rv s="2">
    <v>555</v>
    <v>1</v>
    <v>0</v>
    <v>0</v>
    <v>VortexVanquisher</v>
  </rv>
  <rv s="2">
    <v>556</v>
    <v>1</v>
    <v>0</v>
    <v>0</v>
    <v>WanderingEvenstar</v>
  </rv>
  <rv s="2">
    <v>557</v>
    <v>1</v>
    <v>0</v>
    <v>0</v>
    <v>WavebreakersFin</v>
  </rv>
  <rv s="2">
    <v>558</v>
    <v>1</v>
    <v>0</v>
    <v>0</v>
    <v>Whiteblind</v>
  </rv>
  <rv s="2">
    <v>559</v>
    <v>1</v>
    <v>0</v>
    <v>0</v>
    <v>WhiteIronGreatsword</v>
  </rv>
  <rv s="2">
    <v>560</v>
    <v>1</v>
    <v>0</v>
    <v>0</v>
    <v>WhiteTassel</v>
  </rv>
  <rv s="2">
    <v>561</v>
    <v>1</v>
    <v>0</v>
    <v>0</v>
    <v>WindblumeOde</v>
  </rv>
  <rv s="2">
    <v>562</v>
    <v>1</v>
    <v>0</v>
    <v>0</v>
    <v>WineandSong</v>
  </rv>
  <rv s="2">
    <v>563</v>
    <v>1</v>
    <v>0</v>
    <v>0</v>
    <v>WolfFang</v>
  </rv>
  <rv s="2">
    <v>564</v>
    <v>1</v>
    <v>0</v>
    <v>0</v>
    <v>WolfsGravestone</v>
  </rv>
  <rv s="2">
    <v>565</v>
    <v>1</v>
    <v>0</v>
    <v>0</v>
    <v>XiphosMoonlight</v>
  </rv>
  <rv s="2">
    <v>0</v>
    <v>4</v>
    <v>0</v>
    <v>0</v>
    <v>HerosWit</v>
  </rv>
  <rv s="2">
    <v>13</v>
    <v>4</v>
    <v>0</v>
    <v>0</v>
    <v>StainedMask</v>
  </rv>
  <rv s="2">
    <v>14</v>
    <v>4</v>
    <v>0</v>
    <v>0</v>
    <v>DamagedMask</v>
  </rv>
  <rv s="2">
    <v>15</v>
    <v>4</v>
    <v>0</v>
    <v>0</v>
    <v>TeachingsofBallad</v>
  </rv>
  <rv s="2">
    <v>17</v>
    <v>4</v>
    <v>0</v>
    <v>0</v>
    <v>BrilliantDiamondSilver</v>
  </rv>
  <rv s="2">
    <v>18</v>
    <v>4</v>
    <v>0</v>
    <v>0</v>
    <v>Mora</v>
  </rv>
  <rv s="2">
    <v>22</v>
    <v>4</v>
    <v>0</v>
    <v>0</v>
    <v>MysticEnhancementOre</v>
  </rv>
  <rv s="2">
    <v>34</v>
    <v>4</v>
    <v>0</v>
    <v>0</v>
    <v>SharpArrowhead</v>
  </rv>
  <rv s="2">
    <v>35</v>
    <v>4</v>
    <v>0</v>
    <v>0</v>
    <v>FirmArrowhead</v>
  </rv>
  <rv s="2">
    <v>36</v>
    <v>4</v>
    <v>0</v>
    <v>0</v>
    <v>GuidetoBallad</v>
  </rv>
  <rv s="2">
    <v>38</v>
    <v>4</v>
    <v>0</v>
    <v>0</v>
    <v>BrilliantDiamondFragment</v>
  </rv>
  <rv s="2">
    <v>39</v>
    <v>4</v>
    <v>0</v>
    <v>0</v>
    <v>CrownofInsight</v>
  </rv>
  <rv s="2">
    <v>43</v>
    <v>4</v>
    <v>0</v>
    <v>0</v>
    <v>FineEnhancementOre</v>
  </rv>
  <rv s="2">
    <v>53</v>
    <v>4</v>
    <v>0</v>
    <v>0</v>
    <v>SealedScroll</v>
  </rv>
  <rv s="2">
    <v>54</v>
    <v>4</v>
    <v>0</v>
    <v>0</v>
    <v>DiviningScroll</v>
  </rv>
  <rv s="2">
    <v>56</v>
    <v>4</v>
    <v>0</v>
    <v>0</v>
    <v>BrilliantDiamondChunk</v>
  </rv>
  <rv s="2">
    <v>62</v>
    <v>4</v>
    <v>0</v>
    <v>0</v>
    <v>EnhancementOre</v>
  </rv>
  <rv s="2">
    <v>71</v>
    <v>4</v>
    <v>0</v>
    <v>0</v>
    <v>SlimeSecretions</v>
  </rv>
  <rv s="2">
    <v>72</v>
    <v>4</v>
    <v>0</v>
    <v>0</v>
    <v>SlimeCondensate</v>
  </rv>
  <rv s="2">
    <v>73</v>
    <v>4</v>
    <v>0</v>
    <v>0</v>
    <v>TeachingsofResistance</v>
  </rv>
  <rv s="2">
    <v>88</v>
    <v>4</v>
    <v>0</v>
    <v>0</v>
    <v>SilverRavenInsignia</v>
  </rv>
  <rv s="2">
    <v>89</v>
    <v>4</v>
    <v>0</v>
    <v>0</v>
    <v>TreasureHoarderInsignia</v>
  </rv>
  <rv s="2">
    <v>90</v>
    <v>4</v>
    <v>0</v>
    <v>0</v>
    <v>GuidetoResistance</v>
  </rv>
  <rv s="2">
    <v>92</v>
    <v>4</v>
    <v>0</v>
    <v>0</v>
    <v>AgnidusAgateSilver</v>
  </rv>
  <rv s="2">
    <v>106</v>
    <v>4</v>
    <v>0</v>
    <v>0</v>
    <v>SergeantsInsignia</v>
  </rv>
  <rv s="2">
    <v>107</v>
    <v>4</v>
    <v>0</v>
    <v>0</v>
    <v>RecruitsInsignia</v>
  </rv>
  <rv s="2">
    <v>109</v>
    <v>4</v>
    <v>0</v>
    <v>0</v>
    <v>AgnidusAgateFragment</v>
  </rv>
  <rv s="2">
    <v>118</v>
    <v>4</v>
    <v>0</v>
    <v>0</v>
    <v>ShimmeringNectar</v>
  </rv>
  <rv s="2">
    <v>119</v>
    <v>4</v>
    <v>0</v>
    <v>0</v>
    <v>WhopperflowerNectar</v>
  </rv>
  <rv s="2">
    <v>120</v>
    <v>4</v>
    <v>0</v>
    <v>0</v>
    <v>TeachingsofFreedom</v>
  </rv>
  <rv s="2">
    <v>122</v>
    <v>4</v>
    <v>0</v>
    <v>0</v>
    <v>AgnidusAgateChunk</v>
  </rv>
  <rv s="2">
    <v>135</v>
    <v>4</v>
    <v>0</v>
    <v>0</v>
    <v>KageuchiHandguard</v>
  </rv>
  <rv s="2">
    <v>136</v>
    <v>4</v>
    <v>0</v>
    <v>0</v>
    <v>OldHandguard</v>
  </rv>
  <rv s="2">
    <v>137</v>
    <v>4</v>
    <v>0</v>
    <v>0</v>
    <v>GuidetoFreedom</v>
  </rv>
  <rv s="2">
    <v>142</v>
    <v>4</v>
    <v>0</v>
    <v>0</v>
    <v>SpectralHeart</v>
  </rv>
  <rv s="2">
    <v>143</v>
    <v>4</v>
    <v>0</v>
    <v>0</v>
    <v>SpectralHusk</v>
  </rv>
  <rv s="2">
    <v>146</v>
    <v>4</v>
    <v>0</v>
    <v>0</v>
    <v>VarunadaLazuriteSilver</v>
  </rv>
  <rv s="2">
    <v>156</v>
    <v>4</v>
    <v>0</v>
    <v>0</v>
    <v>LuminescentPollen</v>
  </rv>
  <rv s="2">
    <v>157</v>
    <v>4</v>
    <v>0</v>
    <v>0</v>
    <v>FungalSpores</v>
  </rv>
  <rv s="2">
    <v>158</v>
    <v>4</v>
    <v>0</v>
    <v>0</v>
    <v>TeachingsofGold</v>
  </rv>
  <rv s="2">
    <v>160</v>
    <v>4</v>
    <v>0</v>
    <v>0</v>
    <v>VarunadaLazuriteFragment</v>
  </rv>
  <rv s="2">
    <v>167</v>
    <v>4</v>
    <v>0</v>
    <v>0</v>
    <v>TrimmedRedSilk</v>
  </rv>
  <rv s="2">
    <v>168</v>
    <v>4</v>
    <v>0</v>
    <v>0</v>
    <v>FadedRedSatin</v>
  </rv>
  <rv s="2">
    <v>169</v>
    <v>4</v>
    <v>0</v>
    <v>0</v>
    <v>GuidetoGold</v>
  </rv>
  <rv s="2">
    <v>171</v>
    <v>4</v>
    <v>0</v>
    <v>0</v>
    <v>VarunadaLazuriteChunk</v>
  </rv>
  <rv s="2">
    <v>176</v>
    <v>4</v>
    <v>0</v>
    <v>0</v>
    <v>TransoceanicChunk</v>
  </rv>
  <rv s="2">
    <v>177</v>
    <v>4</v>
    <v>0</v>
    <v>0</v>
    <v>TransoceanicPearl</v>
  </rv>
  <rv s="2">
    <v>187</v>
    <v>4</v>
    <v>0</v>
    <v>0</v>
    <v>MechanicalSpurGear</v>
  </rv>
  <rv s="2">
    <v>188</v>
    <v>4</v>
    <v>0</v>
    <v>0</v>
    <v>MeshingGear</v>
  </rv>
  <rv s="2">
    <v>189</v>
    <v>4</v>
    <v>0</v>
    <v>0</v>
    <v>TeachingsofProsperity</v>
  </rv>
  <rv s="2">
    <v>191</v>
    <v>4</v>
    <v>0</v>
    <v>0</v>
    <v>NagadusEmeraldSilver</v>
  </rv>
  <rv s="2">
    <v>200</v>
    <v>4</v>
    <v>0</v>
    <v>0</v>
    <v>GuidetoProsperity</v>
  </rv>
  <rv s="2">
    <v>202</v>
    <v>4</v>
    <v>0</v>
    <v>0</v>
    <v>NagadusEmeraldFragment</v>
  </rv>
  <rv s="2">
    <v>210</v>
    <v>4</v>
    <v>0</v>
    <v>0</v>
    <v>NagadusEmeraldChunk</v>
  </rv>
  <rv s="2">
    <v>216</v>
    <v>4</v>
    <v>0</v>
    <v>0</v>
    <v>TeachingsofDiligence</v>
  </rv>
  <rv s="2">
    <v>224</v>
    <v>4</v>
    <v>0</v>
    <v>0</v>
    <v>GuidetoDiligence</v>
  </rv>
  <rv s="2">
    <v>225</v>
    <v>4</v>
    <v>0</v>
    <v>0</v>
    <v>VajradaAmethystSilver</v>
  </rv>
  <rv s="2">
    <v>232</v>
    <v>4</v>
    <v>0</v>
    <v>0</v>
    <v>VajradaAmethystFragment</v>
  </rv>
  <rv s="2">
    <v>237</v>
    <v>4</v>
    <v>0</v>
    <v>0</v>
    <v>TeachingsofTransience</v>
  </rv>
  <rv s="2">
    <v>238</v>
    <v>4</v>
    <v>0</v>
    <v>0</v>
    <v>VajradaAmethystChunk</v>
  </rv>
  <rv s="2">
    <v>244</v>
    <v>4</v>
    <v>0</v>
    <v>0</v>
    <v>GuidetoTransience</v>
  </rv>
  <rv s="2">
    <v>250</v>
    <v>4</v>
    <v>0</v>
    <v>0</v>
    <v>VayudaTurquoiseSilver</v>
  </rv>
  <rv s="2">
    <v>255</v>
    <v>4</v>
    <v>0</v>
    <v>0</v>
    <v>TeachingsofLight</v>
  </rv>
  <rv s="2">
    <v>257</v>
    <v>4</v>
    <v>0</v>
    <v>0</v>
    <v>VayudaTurquoiseFragment</v>
  </rv>
  <rv s="2">
    <v>261</v>
    <v>4</v>
    <v>0</v>
    <v>0</v>
    <v>GuidetoLight</v>
  </rv>
  <rv s="2">
    <v>262</v>
    <v>4</v>
    <v>0</v>
    <v>0</v>
    <v>VayudaTurquoiseChunk</v>
  </rv>
  <rv s="2">
    <v>272</v>
    <v>4</v>
    <v>0</v>
    <v>0</v>
    <v>TeachingsofElegance</v>
  </rv>
  <rv s="2">
    <v>274</v>
    <v>4</v>
    <v>0</v>
    <v>0</v>
    <v>ShivadaJadeSilver</v>
  </rv>
  <rv s="2">
    <v>281</v>
    <v>4</v>
    <v>0</v>
    <v>0</v>
    <v>GuidetoElegance</v>
  </rv>
  <rv s="2">
    <v>283</v>
    <v>4</v>
    <v>0</v>
    <v>0</v>
    <v>ShivadaJadeFragment</v>
  </rv>
  <rv s="2">
    <v>289</v>
    <v>4</v>
    <v>0</v>
    <v>0</v>
    <v>ShivadaJadeChunk</v>
  </rv>
  <rv s="2">
    <v>294</v>
    <v>4</v>
    <v>0</v>
    <v>0</v>
    <v>SilkenFeather</v>
  </rv>
  <rv s="2">
    <v>295</v>
    <v>4</v>
    <v>0</v>
    <v>0</v>
    <v>TeachingsofIngenuity</v>
  </rv>
  <rv s="2">
    <v>300</v>
    <v>4</v>
    <v>0</v>
    <v>0</v>
    <v>DenialandJudgment</v>
  </rv>
  <rv s="2">
    <v>301</v>
    <v>4</v>
    <v>0</v>
    <v>0</v>
    <v>GuidetoIngenuity</v>
  </rv>
  <rv s="2">
    <v>302</v>
    <v>4</v>
    <v>0</v>
    <v>0</v>
    <v>PrithivaTopazSilver</v>
  </rv>
  <rv s="2">
    <v>308</v>
    <v>4</v>
    <v>0</v>
    <v>0</v>
    <v>PrithivaTopazFragment</v>
  </rv>
  <rv s="2">
    <v>314</v>
    <v>4</v>
    <v>0</v>
    <v>0</v>
    <v>TeachingsofAdmonition</v>
  </rv>
  <rv s="2">
    <v>316</v>
    <v>4</v>
    <v>0</v>
    <v>0</v>
    <v>PrithivaTopazChunk</v>
  </rv>
  <rv s="2">
    <v>320</v>
    <v>4</v>
    <v>0</v>
    <v>0</v>
    <v>GuidetoAdmonition</v>
  </rv>
  <rv s="2">
    <v>328</v>
    <v>4</v>
    <v>0</v>
    <v>0</v>
    <v>TeachingsofPraxis</v>
  </rv>
  <rv s="2">
    <v>332</v>
    <v>4</v>
    <v>0</v>
    <v>0</v>
    <v>GuidetoPraxis</v>
  </rv>
  <rv s="2">
    <v>342</v>
    <v>4</v>
    <v>0</v>
    <v>0</v>
    <v>TeachingsofJustice</v>
  </rv>
  <rv s="2">
    <v>347</v>
    <v>4</v>
    <v>0</v>
    <v>0</v>
    <v>GuidetoJustice</v>
  </rv>
  <rv s="2">
    <v>355</v>
    <v>4</v>
    <v>0</v>
    <v>0</v>
    <v>TeachingsofOrder</v>
  </rv>
  <rv s="2">
    <v>360</v>
    <v>4</v>
    <v>0</v>
    <v>0</v>
    <v>GuidetoOrder</v>
  </rv>
  <rv s="2">
    <v>367</v>
    <v>4</v>
    <v>0</v>
    <v>0</v>
    <v>TeachingsofEquity</v>
  </rv>
  <rv s="2">
    <v>372</v>
    <v>4</v>
    <v>0</v>
    <v>0</v>
    <v>GuidetoEquity</v>
  </rv>
  <rv s="2">
    <v>1</v>
    <v>4</v>
    <v>0</v>
    <v>0</v>
    <v>Albedo</v>
  </rv>
  <rv s="2">
    <v>23</v>
    <v>4</v>
    <v>0</v>
    <v>0</v>
    <v>Alhaitham</v>
  </rv>
  <rv s="2">
    <v>286</v>
    <v>4</v>
    <v>0</v>
    <v>0</v>
    <v>Aloy</v>
  </rv>
  <rv s="2">
    <v>292</v>
    <v>4</v>
    <v>0</v>
    <v>0</v>
    <v>Amber</v>
  </rv>
  <rv s="2">
    <v>366</v>
    <v>4</v>
    <v>0</v>
    <v>0</v>
    <v>AratakiItto</v>
  </rv>
  <rv s="2">
    <v>414</v>
    <v>4</v>
    <v>0</v>
    <v>0</v>
    <v>Arlecchino</v>
  </rv>
  <rv s="2">
    <v>417</v>
    <v>4</v>
    <v>0</v>
    <v>0</v>
    <v>Baizhu</v>
  </rv>
  <rv s="2">
    <v>420</v>
    <v>4</v>
    <v>0</v>
    <v>0</v>
    <v>Barbara</v>
  </rv>
  <rv s="2">
    <v>371</v>
    <v>4</v>
    <v>0</v>
    <v>0</v>
    <v>Beidou</v>
  </rv>
  <rv s="2">
    <v>44</v>
    <v>4</v>
    <v>0</v>
    <v>0</v>
    <v>Bennett</v>
  </rv>
  <rv s="2">
    <v>453</v>
    <v>4</v>
    <v>0</v>
    <v>0</v>
    <v>Candace</v>
  </rv>
  <rv s="2">
    <v>423</v>
    <v>4</v>
    <v>0</v>
    <v>0</v>
    <v>Charlotte</v>
  </rv>
  <rv s="2">
    <v>455</v>
    <v>4</v>
    <v>0</v>
    <v>0</v>
    <v>Chevreuse</v>
  </rv>
  <rv s="2">
    <v>63</v>
    <v>4</v>
    <v>0</v>
    <v>0</v>
    <v>Chiori</v>
  </rv>
  <rv s="2">
    <v>375</v>
    <v>4</v>
    <v>0</v>
    <v>0</v>
    <v>Chongyun</v>
  </rv>
  <rv s="2">
    <v>79</v>
    <v>4</v>
    <v>0</v>
    <v>0</v>
    <v>Clorinde</v>
  </rv>
  <rv s="2">
    <v>299</v>
    <v>4</v>
    <v>0</v>
    <v>0</v>
    <v>Collei</v>
  </rv>
  <rv s="2">
    <v>457</v>
    <v>4</v>
    <v>0</v>
    <v>0</v>
    <v>Cyno</v>
  </rv>
  <rv s="2">
    <v>378</v>
    <v>4</v>
    <v>0</v>
    <v>0</v>
    <v>Dehya</v>
  </rv>
  <rv s="2">
    <v>381</v>
    <v>4</v>
    <v>0</v>
    <v>0</v>
    <v>Diluc</v>
  </rv>
  <rv s="2">
    <v>305</v>
    <v>4</v>
    <v>0</v>
    <v>0</v>
    <v>Diona</v>
  </rv>
  <rv s="2">
    <v>384</v>
    <v>4</v>
    <v>0</v>
    <v>0</v>
    <v>Dori</v>
  </rv>
  <rv s="2">
    <v>387</v>
    <v>4</v>
    <v>0</v>
    <v>0</v>
    <v>Eula</v>
  </rv>
  <rv s="2">
    <v>311</v>
    <v>4</v>
    <v>0</v>
    <v>0</v>
    <v>Faruzan</v>
  </rv>
  <rv s="2">
    <v>319</v>
    <v>4</v>
    <v>0</v>
    <v>0</v>
    <v>Fischl</v>
  </rv>
  <rv s="2">
    <v>390</v>
    <v>4</v>
    <v>0</v>
    <v>0</v>
    <v>Freminet</v>
  </rv>
  <rv s="2">
    <v>98</v>
    <v>4</v>
    <v>0</v>
    <v>0</v>
    <v>Furina</v>
  </rv>
  <rv s="2">
    <v>393</v>
    <v>4</v>
    <v>0</v>
    <v>0</v>
    <v>Gaming</v>
  </rv>
  <rv s="2">
    <v>324</v>
    <v>4</v>
    <v>0</v>
    <v>0</v>
    <v>Ganyu</v>
  </rv>
  <rv s="2">
    <v>327</v>
    <v>4</v>
    <v>0</v>
    <v>0</v>
    <v>Gorou</v>
  </rv>
  <rv s="2">
    <v>459</v>
    <v>4</v>
    <v>0</v>
    <v>0</v>
    <v>HuTao</v>
  </rv>
  <rv s="2">
    <v>113</v>
    <v>4</v>
    <v>0</v>
    <v>0</v>
    <v>Jean</v>
  </rv>
  <rv s="2">
    <v>140</v>
    <v>4</v>
    <v>0</v>
    <v>0</v>
    <v>Kaeya</v>
  </rv>
  <rv s="2">
    <v>149</v>
    <v>4</v>
    <v>0</v>
    <v>0</v>
    <v>KamisatoAyaka</v>
  </rv>
  <rv s="2">
    <v>163</v>
    <v>4</v>
    <v>0</v>
    <v>0</v>
    <v>KamisatoAyato</v>
  </rv>
  <rv s="2">
    <v>396</v>
    <v>4</v>
    <v>0</v>
    <v>0</v>
    <v>Kaveh</v>
  </rv>
  <rv s="2">
    <v>127</v>
    <v>4</v>
    <v>0</v>
    <v>0</v>
    <v>KaedeharaKazuha</v>
  </rv>
  <rv s="2">
    <v>174</v>
    <v>4</v>
    <v>0</v>
    <v>0</v>
    <v>Keqing</v>
  </rv>
  <rv s="2">
    <v>181</v>
    <v>4</v>
    <v>0</v>
    <v>0</v>
    <v>Kirara</v>
  </rv>
  <rv s="2">
    <v>425</v>
    <v>4</v>
    <v>0</v>
    <v>0</v>
    <v>Klee</v>
  </rv>
  <rv s="2">
    <v>331</v>
    <v>4</v>
    <v>0</v>
    <v>0</v>
    <v>KujouSara</v>
  </rv>
  <rv s="2">
    <v>194</v>
    <v>4</v>
    <v>0</v>
    <v>0</v>
    <v>KukiShinobu</v>
  </rv>
  <rv s="2">
    <v>205</v>
    <v>4</v>
    <v>0</v>
    <v>0</v>
    <v>Layla</v>
  </rv>
  <rv s="2">
    <v>427</v>
    <v>4</v>
    <v>0</v>
    <v>0</v>
    <v>Lisa</v>
  </rv>
  <rv s="2">
    <v>213</v>
    <v>4</v>
    <v>0</v>
    <v>0</v>
    <v>Lynette</v>
  </rv>
  <rv s="2">
    <v>335</v>
    <v>4</v>
    <v>0</v>
    <v>0</v>
    <v>Lyney</v>
  </rv>
  <rv s="2">
    <v>461</v>
    <v>4</v>
    <v>0</v>
    <v>0</v>
    <v>Mika</v>
  </rv>
  <rv s="2">
    <v>429</v>
    <v>4</v>
    <v>0</v>
    <v>0</v>
    <v>Mona</v>
  </rv>
  <rv s="2">
    <v>431</v>
    <v>4</v>
    <v>0</v>
    <v>0</v>
    <v>Nahida</v>
  </rv>
  <rv s="2">
    <v>399</v>
    <v>4</v>
    <v>0</v>
    <v>0</v>
    <v>Navia</v>
  </rv>
  <rv s="2">
    <v>433</v>
    <v>4</v>
    <v>0</v>
    <v>0</v>
    <v>Neuvillette</v>
  </rv>
  <rv s="2">
    <v>219</v>
    <v>4</v>
    <v>0</v>
    <v>0</v>
    <v>Nilou</v>
  </rv>
  <rv s="2">
    <v>435</v>
    <v>4</v>
    <v>0</v>
    <v>0</v>
    <v>Ningguang</v>
  </rv>
  <rv s="2">
    <v>402</v>
    <v>4</v>
    <v>0</v>
    <v>0</v>
    <v>Noelle</v>
  </rv>
  <rv s="2">
    <v>228</v>
    <v>4</v>
    <v>0</v>
    <v>0</v>
    <v>Qiqi</v>
  </rv>
  <rv s="2">
    <v>463</v>
    <v>4</v>
    <v>0</v>
    <v>0</v>
    <v>RaidenShogun</v>
  </rv>
  <rv s="2">
    <v>405</v>
    <v>4</v>
    <v>0</v>
    <v>0</v>
    <v>Razor</v>
  </rv>
  <rv s="2">
    <v>465</v>
    <v>4</v>
    <v>0</v>
    <v>0</v>
    <v>Rosaria</v>
  </rv>
  <rv s="2">
    <v>437</v>
    <v>4</v>
    <v>0</v>
    <v>0</v>
    <v>SangonomiyaKokomi</v>
  </rv>
  <rv s="2">
    <v>408</v>
    <v>4</v>
    <v>0</v>
    <v>0</v>
    <v>Sayu</v>
  </rv>
  <rv s="2">
    <v>340</v>
    <v>4</v>
    <v>0</v>
    <v>0</v>
    <v>Sethos</v>
  </rv>
  <rv s="2">
    <v>467</v>
    <v>4</v>
    <v>0</v>
    <v>0</v>
    <v>Shenhe</v>
  </rv>
  <rv s="2">
    <v>439</v>
    <v>4</v>
    <v>0</v>
    <v>0</v>
    <v>ShikanoinHeizou</v>
  </rv>
  <rv s="2">
    <v>441</v>
    <v>4</v>
    <v>0</v>
    <v>0</v>
    <v>Sucrose</v>
  </rv>
  <rv s="2">
    <v>346</v>
    <v>4</v>
    <v>0</v>
    <v>0</v>
    <v>Tartaglia</v>
  </rv>
  <rv s="2">
    <v>469</v>
    <v>4</v>
    <v>0</v>
    <v>0</v>
    <v>Thoma</v>
  </rv>
  <rv s="2">
    <v>351</v>
    <v>4</v>
    <v>0</v>
    <v>0</v>
    <v>Tighnari</v>
  </rv>
  <rv s="2">
    <v>235</v>
    <v>4</v>
    <v>0</v>
    <v>0</v>
    <v>TravelerAnemo</v>
  </rv>
  <rv s="2">
    <v>241</v>
    <v>4</v>
    <v>0</v>
    <v>0</v>
    <v>TravelerGeo</v>
  </rv>
  <rv s="2">
    <v>247</v>
    <v>4</v>
    <v>0</v>
    <v>0</v>
    <v>TravelerElectro</v>
  </rv>
  <rv s="2">
    <v>253</v>
    <v>4</v>
    <v>0</v>
    <v>0</v>
    <v>TravelerDendro</v>
  </rv>
  <rv s="2">
    <v>260</v>
    <v>4</v>
    <v>0</v>
    <v>0</v>
    <v>TravelerHydro</v>
  </rv>
  <rv s="2">
    <v>265</v>
    <v>4</v>
    <v>0</v>
    <v>0</v>
    <v>TravelerPyro</v>
  </rv>
  <rv s="2">
    <v>270</v>
    <v>4</v>
    <v>0</v>
    <v>0</v>
    <v>TravelerCryo</v>
  </rv>
  <rv s="2">
    <v>354</v>
    <v>4</v>
    <v>0</v>
    <v>0</v>
    <v>Venti</v>
  </rv>
  <rv s="2">
    <v>443</v>
    <v>4</v>
    <v>0</v>
    <v>0</v>
    <v>Wanderer</v>
  </rv>
  <rv s="2">
    <v>445</v>
    <v>4</v>
    <v>0</v>
    <v>0</v>
    <v>Wriothesley</v>
  </rv>
  <rv s="2">
    <v>471</v>
    <v>4</v>
    <v>0</v>
    <v>0</v>
    <v>Xiangling</v>
  </rv>
  <rv s="2">
    <v>447</v>
    <v>4</v>
    <v>0</v>
    <v>0</v>
    <v>Xianyun</v>
  </rv>
  <rv s="2">
    <v>473</v>
    <v>4</v>
    <v>0</v>
    <v>0</v>
    <v>Xiao</v>
  </rv>
  <rv s="2">
    <v>277</v>
    <v>4</v>
    <v>0</v>
    <v>0</v>
    <v>Xingqiu</v>
  </rv>
  <rv s="2">
    <v>411</v>
    <v>4</v>
    <v>0</v>
    <v>0</v>
    <v>Xinyan</v>
  </rv>
  <rv s="2">
    <v>449</v>
    <v>4</v>
    <v>0</v>
    <v>0</v>
    <v>YaeMiko</v>
  </rv>
  <rv s="2">
    <v>451</v>
    <v>4</v>
    <v>0</v>
    <v>0</v>
    <v>Yanfei</v>
  </rv>
  <rv s="2">
    <v>475</v>
    <v>4</v>
    <v>0</v>
    <v>0</v>
    <v>Yaoyao</v>
  </rv>
  <rv s="2">
    <v>359</v>
    <v>4</v>
    <v>0</v>
    <v>0</v>
    <v>Yelan</v>
  </rv>
  <rv s="2">
    <v>363</v>
    <v>4</v>
    <v>0</v>
    <v>0</v>
    <v>Yoimiya</v>
  </rv>
  <rv s="2">
    <v>477</v>
    <v>4</v>
    <v>0</v>
    <v>0</v>
    <v>YunJin</v>
  </rv>
  <rv s="2">
    <v>479</v>
    <v>4</v>
    <v>0</v>
    <v>0</v>
    <v>Zhongli</v>
  </rv>
</rvData>
</file>

<file path=xl/richData/rdrichvaluestructure.xml><?xml version="1.0" encoding="utf-8"?>
<rvStructures xmlns="http://schemas.microsoft.com/office/spreadsheetml/2017/richdata" count="3">
  <s t="_webimage">
    <k n="WebImageIdentifier" t="i"/>
    <k n="CalcOrigin" t="i"/>
    <k n="ComputedImage" t="b"/>
    <k n="ImageSizing" t="i"/>
    <k n="Text" t="s"/>
  </s>
  <s t="_error">
    <k n="errorType" t="i"/>
    <k n="propagated" t="b"/>
  </s>
  <s t="_webimage">
    <k n="WebImageIdentifier" t="i"/>
    <k n="CalcOrigin" t="i"/>
    <k n="ComputedImage" t="b"/>
    <k n="ImageSizing" t="i"/>
    <k n="Text" t="s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C19E713-DCE7-4364-B031-B1770EA58D46}" name="CharacterDatabase" displayName="CharacterDatabase" ref="A1:L91" totalsRowShown="0">
  <autoFilter ref="A1:L91" xr:uid="{EC19E713-DCE7-4364-B031-B1770EA58D46}"/>
  <tableColumns count="12">
    <tableColumn id="1" xr3:uid="{84171DD1-DE88-4A1E-879B-7195BDD0B7E2}" name="Levels"/>
    <tableColumn id="2" xr3:uid="{E5FFCB26-BF33-49E4-998A-5888802C1DFA}" name="Mora"/>
    <tableColumn id="3" xr3:uid="{CCE6E3E6-4E2F-45E7-A590-C272597B485E}" name="HerosWits"/>
    <tableColumn id="4" xr3:uid="{32BB7763-3DC7-4E8A-9E50-05CD4E83A2C0}" name="LocalSpecialties"/>
    <tableColumn id="5" xr3:uid="{8916A1E8-9E96-4511-950E-CCF9177DA62E}" name="Silver"/>
    <tableColumn id="6" xr3:uid="{2BA4F359-DB71-471E-9F97-44AB02C8F333}" name="Fragment"/>
    <tableColumn id="8" xr3:uid="{2F4C48BB-D75D-4C4C-901B-5598C2E736E6}" name="Chunk"/>
    <tableColumn id="7" xr3:uid="{8C5C0C59-25F3-41BC-9CA7-34A9A64D9084}" name="Gemstone"/>
    <tableColumn id="9" xr3:uid="{6021F9A2-DCC2-419E-89F0-8E0983B52B60}" name="1* Mats"/>
    <tableColumn id="10" xr3:uid="{8BB6DCBD-1D3E-4532-80C1-D79396470BE7}" name="2* Mats"/>
    <tableColumn id="11" xr3:uid="{F0B19325-B09D-4EC0-9C4B-43259B5CFEFA}" name="3* Mats"/>
    <tableColumn id="12" xr3:uid="{3B032DC8-9245-4E5F-9143-98B57308A3A5}" name="Boss Mat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E2F7D90-0D3C-4FF8-A983-59BAEFD7285D}" name="TalentDatabase" displayName="TalentDatabase" ref="N1:W11" totalsRowShown="0">
  <autoFilter ref="N1:W11" xr:uid="{3E2F7D90-0D3C-4FF8-A983-59BAEFD7285D}"/>
  <tableColumns count="10">
    <tableColumn id="1" xr3:uid="{45BC27EB-DDBE-433A-AF23-AFDA85B8ADDF}" name="Talent Level"/>
    <tableColumn id="2" xr3:uid="{C35B7134-71A2-4043-A64B-E9AF97714D90}" name="Mora"/>
    <tableColumn id="3" xr3:uid="{5B69D4FA-7280-452A-8F30-BA8199F0A0CB}" name="2* Books"/>
    <tableColumn id="4" xr3:uid="{E3E56706-9215-498F-B139-B4B877E09E19}" name="3* Books"/>
    <tableColumn id="5" xr3:uid="{9A4C0AF4-8D86-48FB-983E-C6C76F2BE507}" name="4* Books"/>
    <tableColumn id="6" xr3:uid="{682E8C31-24E9-47EF-8A72-2A8AB5A4A4BE}" name="1* Mats"/>
    <tableColumn id="7" xr3:uid="{48FE4ED2-A012-47ED-9639-324CAA0694B7}" name="2* Mats"/>
    <tableColumn id="8" xr3:uid="{BA2DE225-2524-47F3-9CEC-DC498B2E4D22}" name="3* Mats"/>
    <tableColumn id="9" xr3:uid="{50AA2E31-EB63-431F-8C33-4D7CC9B3AA78}" name="Weekly Boss Mats"/>
    <tableColumn id="10" xr3:uid="{C80E699B-9179-456B-8B8E-C3986024A758}" name="Crow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20D8DEB-90FF-455C-90C3-295E7737CAF7}" name="ExperienceImg" displayName="ExperienceImg" ref="A2:B6" totalsRowShown="0" headerRowDxfId="494" dataDxfId="493">
  <autoFilter ref="A2:B6" xr:uid="{F20D8DEB-90FF-455C-90C3-295E7737CAF7}"/>
  <tableColumns count="2">
    <tableColumn id="1" xr3:uid="{64F03A41-F93A-49D5-92A0-88AE43229642}" name="Icon" dataDxfId="492">
      <calculatedColumnFormula>_xlfn.IMAGE(_xlfn.CONCAT("https://raw.githubusercontent.com/ItsCryp7iC/Genshin-Image-Hosting/main/Experience/",ExperienceImg[[#This Row],[Name]],".png"),ExperienceImg[[#This Row],[Name]])</calculatedColumnFormula>
    </tableColumn>
    <tableColumn id="2" xr3:uid="{079531D8-FFD6-4BFD-9AE3-36BE5EA2A4F5}" name="Name" dataDxfId="49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71FC162-B430-4704-BBFD-A691624963BF}" name="WorldBossImg" displayName="WorldBossImg" ref="P2:R33" totalsRowShown="0" headerRowDxfId="490" dataDxfId="489">
  <autoFilter ref="P2:R33" xr:uid="{471FC162-B430-4704-BBFD-A691624963BF}"/>
  <tableColumns count="3">
    <tableColumn id="1" xr3:uid="{3277339E-1133-4913-BB4F-1AC15D415C0C}" name="Icon" dataDxfId="488">
      <calculatedColumnFormula>_xlfn.IMAGE(_xlfn.CONCAT("https://raw.githubusercontent.com/ItsCryp7iC/Genshin-Image-Hosting/main/WorldBoss/",WorldBossImg[[#This Row],[Name]],".png"),WorldBossImg[[#This Row],[Name]])</calculatedColumnFormula>
    </tableColumn>
    <tableColumn id="3" xr3:uid="{B819A49D-9BA8-4A23-A3AB-E14EF4676B73}" name="Boss Name" dataDxfId="487"/>
    <tableColumn id="2" xr3:uid="{E39AA9A9-AEA7-418E-A2B3-0E45DCD84BCE}" name="Name" dataDxfId="48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0C4DF60-7933-46BC-89ED-69A9036A2D91}" name="WeeklyBossImg" displayName="WeeklyBossImg" ref="T2:V32" totalsRowShown="0" headerRowDxfId="485" dataDxfId="484">
  <autoFilter ref="T2:V32" xr:uid="{D0C4DF60-7933-46BC-89ED-69A9036A2D91}"/>
  <tableColumns count="3">
    <tableColumn id="1" xr3:uid="{AD4B7A33-55D0-4E8E-9EDC-3EBC968E101E}" name="Icon" dataDxfId="483">
      <calculatedColumnFormula>_xlfn.IMAGE(_xlfn.CONCAT("https://raw.githubusercontent.com/ItsCryp7iC/Genshin-Image-Hosting/main/WeeklyBoss/",WeeklyBossImg[[#This Row],[Name]],".png"),WeeklyBossImg[[#This Row],[Name]])</calculatedColumnFormula>
    </tableColumn>
    <tableColumn id="3" xr3:uid="{A446ED41-09B0-449E-B189-8FF8D8B28F55}" name="Boss Name" dataDxfId="482"/>
    <tableColumn id="2" xr3:uid="{87ECF132-A20B-4883-AC89-CE8D9AC68BA9}" name="Name" dataDxfId="48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1B59D81-EF99-40E2-BF60-EEF1578AA981}" name="MonsterMaterialsImg" displayName="MonsterMaterialsImg" ref="X2:AD15" totalsRowShown="0" headerRowDxfId="480" dataDxfId="479">
  <autoFilter ref="X2:AD15" xr:uid="{91B59D81-EF99-40E2-BF60-EEF1578AA981}"/>
  <tableColumns count="7">
    <tableColumn id="3" xr3:uid="{FD79A5C7-F6A3-48B3-AC3B-566E039BBA95}" name="Mob Name" dataDxfId="478"/>
    <tableColumn id="4" xr3:uid="{7E252873-950D-459A-A573-E9A6FA2F4C1F}" name="3*Name" dataDxfId="193"/>
    <tableColumn id="5" xr3:uid="{2C54D783-4D28-41FF-85C4-4F989C65D14D}" name="3*Icon" dataDxfId="192">
      <calculatedColumnFormula>_xlfn.IMAGE(_xlfn.CONCAT("https://raw.githubusercontent.com/ItsCryp7iC/Genshin-Image-Hosting/main/MonsterDrops/3Star/",MonsterMaterialsImg[[#This Row],[3*Name]],".png"),MonsterMaterialsImg[[#This Row],[3*Name]])</calculatedColumnFormula>
    </tableColumn>
    <tableColumn id="7" xr3:uid="{5D410829-A044-4938-9A01-06C04352EEE9}" name="2*Name" dataDxfId="191"/>
    <tableColumn id="6" xr3:uid="{790EBBF6-AEB3-486B-9267-10681E8DDCE2}" name="2*Icon" dataDxfId="188">
      <calculatedColumnFormula>_xlfn.IMAGE(_xlfn.CONCAT("https://raw.githubusercontent.com/ItsCryp7iC/Genshin-Image-Hosting/main/MonsterDrops/2Star/",MonsterMaterialsImg[[#This Row],[2*Name]],".png"),MonsterMaterialsImg[[#This Row],[2*Name]])</calculatedColumnFormula>
    </tableColumn>
    <tableColumn id="8" xr3:uid="{3FF27451-D359-4AF9-9BC2-304322790BF0}" name="1*Name" dataDxfId="190"/>
    <tableColumn id="2" xr3:uid="{04A4E4F9-F684-4E4F-9E22-B172E3B2EAF7}" name="1*Icon" dataDxfId="189">
      <calculatedColumnFormula>_xlfn.IMAGE(_xlfn.CONCAT("https://raw.githubusercontent.com/ItsCryp7iC/Genshin-Image-Hosting/main/MonsterDrops/1Star/",MonsterMaterialsImg[[#This Row],[1*Name]],".png"),MonsterMaterialsImg[[#This Row],[1*Name]])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85F45436-0A7B-4E28-B2C5-38946D623E1E}" name="TalentBooksImg" displayName="TalentBooksImg" ref="AF2:AG47" totalsRowShown="0" headerRowDxfId="477" dataDxfId="476">
  <autoFilter ref="AF2:AG47" xr:uid="{85F45436-0A7B-4E28-B2C5-38946D623E1E}"/>
  <tableColumns count="2">
    <tableColumn id="1" xr3:uid="{C2995E17-7D14-42A7-91AF-8367BFA6D5B5}" name="Icon" dataDxfId="475">
      <calculatedColumnFormula>_xlfn.IMAGE(_xlfn.CONCAT("https://raw.githubusercontent.com/ItsCryp7iC/Genshin-Image-Hosting/main/TalentBooks/",TalentBooksImg[[#This Row],[Name]],".png"),TalentBooksImg[[#This Row],[Name]])</calculatedColumnFormula>
    </tableColumn>
    <tableColumn id="2" xr3:uid="{7EA85A24-EB9F-47EF-B32C-E5B2B3D15C0F}" name="Name" dataDxfId="47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D298F8CA-CFE3-4FC6-A382-7447B4038B8E}" name="LocalSpecialtiesImg" displayName="LocalSpecialtiesImg" ref="AI2:AJ45" totalsRowShown="0" headerRowDxfId="473" dataDxfId="472">
  <autoFilter ref="AI2:AJ45" xr:uid="{D298F8CA-CFE3-4FC6-A382-7447B4038B8E}"/>
  <tableColumns count="2">
    <tableColumn id="1" xr3:uid="{B18A0F22-65CA-4A90-B8DC-9A419DA03BEE}" name="Icon" dataDxfId="471">
      <calculatedColumnFormula>_xlfn.IMAGE(_xlfn.CONCAT("https://raw.githubusercontent.com/ItsCryp7iC/Genshin-Image-Hosting/main/LocalSpecialties/",LocalSpecialtiesImg[[#This Row],[Name]],".png"),LocalSpecialtiesImg[[#This Row],[Name]])</calculatedColumnFormula>
    </tableColumn>
    <tableColumn id="2" xr3:uid="{C148C8AE-33E1-4216-A3FB-633C34B95E9E}" name="Name" dataDxfId="47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83B91E0-F1E2-4EE2-BAD9-5FA64344E12F}" name="GemsImg" displayName="GemsImg" ref="AL2:AM34" totalsRowShown="0" headerRowDxfId="469" dataDxfId="468">
  <autoFilter ref="AL2:AM34" xr:uid="{783B91E0-F1E2-4EE2-BAD9-5FA64344E12F}"/>
  <tableColumns count="2">
    <tableColumn id="1" xr3:uid="{246371CD-B3BE-4265-8C60-F89F20AEF5C1}" name="Icon" dataDxfId="467">
      <calculatedColumnFormula>_xlfn.IMAGE(_xlfn.CONCAT("https://raw.githubusercontent.com/ItsCryp7iC/Genshin-Image-Hosting/main/Gems/",GemsImg[[#This Row],[Name]],".png"),GemsImg[[#This Row],[Name]])</calculatedColumnFormula>
    </tableColumn>
    <tableColumn id="2" xr3:uid="{EB06E72D-2BDB-46C8-9E43-33524DEF81A2}" name="Name" dataDxfId="46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5D30F5FB-AFE3-4A6D-8E00-B029E7745D3B}" name="MiscImg" displayName="MiscImg" ref="AO2:AP9" totalsRowShown="0" headerRowDxfId="465" dataDxfId="464">
  <autoFilter ref="AO2:AP9" xr:uid="{5D30F5FB-AFE3-4A6D-8E00-B029E7745D3B}"/>
  <tableColumns count="2">
    <tableColumn id="1" xr3:uid="{71F572B4-BC88-4273-A43C-C1305E4FA246}" name="Icon" dataDxfId="463">
      <calculatedColumnFormula>_xlfn.IMAGE(_xlfn.CONCAT("https://raw.githubusercontent.com/ItsCryp7iC/Genshin-Image-Hosting/main/Misc/",MiscImg[[#This Row],[Name]],".png"),MiscImg[[#This Row],[Name]])</calculatedColumnFormula>
    </tableColumn>
    <tableColumn id="2" xr3:uid="{40B0BB0D-30A2-409A-A1E2-EB71F05EE365}" name="Name" dataDxfId="46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B5C23B03-03C1-4CEE-9134-CD105CBF4BC3}" name="CharacterDetailsImg" displayName="CharacterDetailsImg" ref="D2:N91" totalsRowShown="0" headerRowDxfId="461" dataDxfId="459" headerRowBorderDxfId="460">
  <autoFilter ref="D2:N91" xr:uid="{B5C23B03-03C1-4CEE-9134-CD105CBF4BC3}"/>
  <sortState xmlns:xlrd2="http://schemas.microsoft.com/office/spreadsheetml/2017/richdata2" ref="D3:N91">
    <sortCondition ref="F2:F91"/>
  </sortState>
  <tableColumns count="11">
    <tableColumn id="1" xr3:uid="{630FBB57-BC04-4CB3-B3C5-6142ADA352CA}" name="Icon" dataDxfId="458">
      <calculatedColumnFormula>_xlfn.IMAGE(_xlfn.CONCAT("https://raw.githubusercontent.com/ItsCryp7iC/Genshin-Image-Hosting/main/Characters/",CharacterDetailsImg[[#This Row],[Name]],".png"),CharacterDetailsImg[[#This Row],[Name]])</calculatedColumnFormula>
    </tableColumn>
    <tableColumn id="2" xr3:uid="{731F8CD1-3758-4160-BFF4-C3B88A7B4205}" name="Name" dataDxfId="457"/>
    <tableColumn id="3" xr3:uid="{E7239F64-B800-4A9B-8248-6A4AB7995230}" name="Weapon Type" dataDxfId="456"/>
    <tableColumn id="4" xr3:uid="{A82441D1-53D6-4839-B2A8-426CE38F86B2}" name="Element" dataDxfId="455"/>
    <tableColumn id="9" xr3:uid="{3CE19D5D-1609-41E7-BA8E-A040E443B33E}" name="Released Version" dataDxfId="454"/>
    <tableColumn id="5" xr3:uid="{C72FD904-AB80-4F32-961B-24BA223503CA}" name="World Boss" dataDxfId="453"/>
    <tableColumn id="6" xr3:uid="{CDFC77AA-F941-4088-9FFC-CF4DEBBFDE4F}" name="Weekly Boss" dataDxfId="452"/>
    <tableColumn id="7" xr3:uid="{82D3AE23-725D-4204-AFE6-ABC95BE6CA93}" name="TalentBook" dataDxfId="451"/>
    <tableColumn id="8" xr3:uid="{721C5EB6-0B21-43CA-8D2F-1DC12A085740}" name="Monster Mats" dataDxfId="450"/>
    <tableColumn id="11" xr3:uid="{665EB381-A29F-3740-BD11-B0B2E77AF974}" name="LocalSpecialties" dataDxfId="449"/>
    <tableColumn id="10" xr3:uid="{FD44B491-F749-4815-A910-7F8B60F6BC03}" name="Gems" dataDxfId="448">
      <calculatedColumnFormula>IF(OR(
E3="TravelerAnemo",
E3="TravelerGeo",
E3="TravelerElectro",
E3="TravelerDendro",
E3="TravelerHydro",
E3="TravelerPyro",
E3="TravelerCryo"),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F450BF9-18D4-4DD3-8F6F-9360DE9D0D2C}" name="BilletImg" displayName="BilletImg" ref="AR2:AS7" totalsRowShown="0" headerRowDxfId="447" dataDxfId="446">
  <autoFilter ref="AR2:AS7" xr:uid="{5F450BF9-18D4-4DD3-8F6F-9360DE9D0D2C}"/>
  <tableColumns count="2">
    <tableColumn id="1" xr3:uid="{ADC23C17-6449-4377-B630-EDCEEC7F14AB}" name="Icon" dataDxfId="445">
      <calculatedColumnFormula>_xlfn.IMAGE(_xlfn.CONCAT("https://raw.githubusercontent.com/ItsCryp7iC/Genshin-Image-Hosting/main/Billets/",BilletImg[[#This Row],[Name]],".png"),BilletImg[[#This Row],[Name]])</calculatedColumnFormula>
    </tableColumn>
    <tableColumn id="2" xr3:uid="{78EE2A6A-1B46-478A-AC36-040A34FF75D8}" name="Name" dataDxfId="444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603BFBF-3EB8-4AD4-AF6C-7BAA331B1619}" name="ElementsImg" displayName="ElementsImg" ref="AU2:AV9" totalsRowShown="0" headerRowDxfId="443" dataDxfId="442">
  <autoFilter ref="AU2:AV9" xr:uid="{3603BFBF-3EB8-4AD4-AF6C-7BAA331B1619}"/>
  <tableColumns count="2">
    <tableColumn id="1" xr3:uid="{EBD0437C-6331-4712-BBFF-63A8E59DE701}" name="Icon" dataDxfId="441">
      <calculatedColumnFormula>_xlfn.IMAGE(_xlfn.CONCAT("https://raw.githubusercontent.com/ItsCryp7iC/Genshin-Image-Hosting/main/Elements/",ElementsImg[[#This Row],[Name]],".png"),ElementsImg[[#This Row],[Name]])</calculatedColumnFormula>
    </tableColumn>
    <tableColumn id="2" xr3:uid="{381A098D-E6B1-40DA-AE98-2A0102007768}" name="Name" dataDxfId="440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A1117BF0-54CA-4564-9CEF-252F6651192B}" name="WeaponsImg" displayName="WeaponsImg" ref="AX2:AY176" totalsRowShown="0" headerRowDxfId="439" dataDxfId="438">
  <autoFilter ref="AX2:AY176" xr:uid="{A1117BF0-54CA-4564-9CEF-252F6651192B}"/>
  <tableColumns count="2">
    <tableColumn id="1" xr3:uid="{2C1A27A6-878C-49F7-B27C-AEE3FEF771A5}" name="Icon" dataDxfId="437">
      <calculatedColumnFormula>_xlfn.IMAGE(_xlfn.CONCAT("https://raw.githubusercontent.com/ItsCryp7iC/Genshin-Image-Hosting/main/Weapons/",WeaponsImg[[#This Row],[Name]],".png"),WeaponsImg[[#This Row],[Name]])</calculatedColumnFormula>
    </tableColumn>
    <tableColumn id="2" xr3:uid="{93EF9473-06C4-4DF0-9622-CE155D2FD10D}" name="Name" dataDxfId="436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8F01C85C-A3A4-444C-B766-D895B6EB0396}" name="WeaponMaterialsImg" displayName="WeaponMaterialsImg" ref="BA2:BB62" totalsRowShown="0" headerRowDxfId="435" dataDxfId="434">
  <autoFilter ref="BA2:BB62" xr:uid="{8F01C85C-A3A4-444C-B766-D895B6EB0396}"/>
  <tableColumns count="2">
    <tableColumn id="1" xr3:uid="{1742757B-ED55-43AE-94CF-3E27EDE9E447}" name="Icon" dataDxfId="433">
      <calculatedColumnFormula>_xlfn.IMAGE(_xlfn.CONCAT("https://raw.githubusercontent.com/ItsCryp7iC/Genshin-Image-Hosting/main/WeaponMaterials/",WeaponMaterialsImg[[#This Row],[Name]],".png"),WeaponMaterialsImg[[#This Row],[Name]])</calculatedColumnFormula>
    </tableColumn>
    <tableColumn id="2" xr3:uid="{8DF1A0BA-4DD4-4A8C-B7BE-263DF30A8AC4}" name="Name" dataDxfId="43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EC85B4B-D14A-404A-BAED-6490403A6959}" name="ExperienceInv" displayName="ExperienceInv" ref="A4:B8" totalsRowShown="0" headerRowDxfId="431" dataDxfId="429" headerRowBorderDxfId="430">
  <autoFilter ref="A4:B8" xr:uid="{CEC85B4B-D14A-404A-BAED-6490403A6959}"/>
  <tableColumns count="2">
    <tableColumn id="1" xr3:uid="{B3C9709D-32B6-48B0-A807-661EC80D2242}" name="Icon" dataDxfId="168">
      <calculatedColumnFormula>ImgDatabase!A3</calculatedColumnFormula>
    </tableColumn>
    <tableColumn id="3" xr3:uid="{AC9369FA-7C10-48AC-8670-6BD395FD7FC6}" name="Quantity" dataDxfId="167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67BB2F5-E7B5-4DEA-ADA2-C32432EF67D0}" name="WorldBossInv" displayName="WorldBossInv" ref="D4:E35" totalsRowShown="0" headerRowDxfId="428" dataDxfId="426" headerRowBorderDxfId="427">
  <autoFilter ref="D4:E35" xr:uid="{467BB2F5-E7B5-4DEA-ADA2-C32432EF67D0}"/>
  <tableColumns count="2">
    <tableColumn id="1" xr3:uid="{5F9E4E8C-24BB-43F3-8AD5-133003311CA5}" name="Icon" dataDxfId="166">
      <calculatedColumnFormula>ImgDatabase!P3</calculatedColumnFormula>
    </tableColumn>
    <tableColumn id="3" xr3:uid="{88644666-390B-45FE-9705-99F1C2FE29EB}" name="Quantity" dataDxfId="165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B9A62B4-730A-4308-9E3A-AB1917CA1130}" name="WeeklyBossInv" displayName="WeeklyBossInv" ref="G4:H34" totalsRowShown="0" headerRowDxfId="425" dataDxfId="423" headerRowBorderDxfId="424">
  <autoFilter ref="G4:H34" xr:uid="{EB9A62B4-730A-4308-9E3A-AB1917CA1130}"/>
  <tableColumns count="2">
    <tableColumn id="1" xr3:uid="{17F8F6D2-6B6E-42B1-BB28-2AC118308596}" name="Icon" dataDxfId="164">
      <calculatedColumnFormula>ImgDatabase!T3</calculatedColumnFormula>
    </tableColumn>
    <tableColumn id="3" xr3:uid="{A1FFDB15-D0C6-4F52-9D2E-B3BB820018BD}" name="Quantity" dataDxfId="163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E2FFD29-F9A5-465A-8592-4622E20F44E5}" name="MonsterMaterialsInv" displayName="MonsterMaterialsInv" ref="J4:O17" totalsRowShown="0" headerRowDxfId="422" dataDxfId="420" headerRowBorderDxfId="421">
  <autoFilter ref="J4:O17" xr:uid="{8E2FFD29-F9A5-465A-8592-4622E20F44E5}"/>
  <tableColumns count="6">
    <tableColumn id="1" xr3:uid="{0C593EFA-90DC-4C79-8D84-5CD5C454DA4C}" name="3* Icon" dataDxfId="162">
      <calculatedColumnFormula>ImgDatabase!Z3</calculatedColumnFormula>
    </tableColumn>
    <tableColumn id="4" xr3:uid="{5FC7B1F0-320E-47E9-AEEF-1EC7161AC003}" name="3* Quantity" dataDxfId="161"/>
    <tableColumn id="5" xr3:uid="{AF3429E3-126F-46BF-B345-D96B77F69CC7}" name="2* Icon" dataDxfId="160">
      <calculatedColumnFormula>ImgDatabase!AB3</calculatedColumnFormula>
    </tableColumn>
    <tableColumn id="6" xr3:uid="{37E42B95-BD49-4287-B07D-B0D0634D7AC7}" name="2* Quantity" dataDxfId="159"/>
    <tableColumn id="2" xr3:uid="{D8D7600D-1C6D-4C12-A021-B6D397656215}" name="1* Icon" dataDxfId="158">
      <calculatedColumnFormula>ImgDatabase!AD3</calculatedColumnFormula>
    </tableColumn>
    <tableColumn id="3" xr3:uid="{92666AB6-694E-4341-973B-A601365969E7}" name="1* Quantity" dataDxfId="157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887DA76-B656-437B-8ADF-127D2D65ECFD}" name="TalentBooksInv" displayName="TalentBooksInv" ref="Q4:R49" totalsRowShown="0" headerRowDxfId="419" dataDxfId="417" headerRowBorderDxfId="418">
  <autoFilter ref="Q4:R49" xr:uid="{2887DA76-B656-437B-8ADF-127D2D65ECFD}"/>
  <tableColumns count="2">
    <tableColumn id="1" xr3:uid="{3E0A2344-C4BE-41E6-AA1F-3F3560F1D8CD}" name="Icon" dataDxfId="156">
      <calculatedColumnFormula>ImgDatabase!AF3</calculatedColumnFormula>
    </tableColumn>
    <tableColumn id="3" xr3:uid="{AB3250A8-839E-44EE-82BE-95BD928D8544}" name="Quantity" dataDxfId="155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D3B5164D-E759-45F7-9F13-BCCD285D48B2}" name="LocalSpecialtiesInv" displayName="LocalSpecialtiesInv" ref="T4:U47" totalsRowShown="0" headerRowDxfId="416" dataDxfId="414" headerRowBorderDxfId="415">
  <autoFilter ref="T4:U47" xr:uid="{D3B5164D-E759-45F7-9F13-BCCD285D48B2}"/>
  <tableColumns count="2">
    <tableColumn id="1" xr3:uid="{1D638E2C-7664-4985-828A-21020C6A0798}" name="Icon" dataDxfId="154">
      <calculatedColumnFormula>ImgDatabase!AI3</calculatedColumnFormula>
    </tableColumn>
    <tableColumn id="3" xr3:uid="{04524C7E-5D67-49B7-A579-4AEFBDE4C2E8}" name="Quantity" dataDxfId="153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E23DE02-3333-448C-B74B-7A0BB4496250}" name="GemsInv" displayName="GemsInv" ref="W4:X36" totalsRowShown="0" headerRowDxfId="413" dataDxfId="411" headerRowBorderDxfId="412">
  <autoFilter ref="W4:X36" xr:uid="{EE23DE02-3333-448C-B74B-7A0BB4496250}"/>
  <tableColumns count="2">
    <tableColumn id="1" xr3:uid="{2E23D609-0F17-4689-89BD-6298404B6DD8}" name="Icon" dataDxfId="152">
      <calculatedColumnFormula>ImgDatabase!AL3</calculatedColumnFormula>
    </tableColumn>
    <tableColumn id="3" xr3:uid="{0D7E441B-15E4-4B31-BB46-7A42C5AC4C8E}" name="Quantity" dataDxfId="151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8FFC40B2-5A5C-4983-B7F8-4ED9CC6CFCE3}" name="MiscInv" displayName="MiscInv" ref="Z4:AA6" totalsRowShown="0" headerRowDxfId="410" dataDxfId="408" headerRowBorderDxfId="409">
  <autoFilter ref="Z4:AA6" xr:uid="{8FFC40B2-5A5C-4983-B7F8-4ED9CC6CFCE3}"/>
  <tableColumns count="2">
    <tableColumn id="1" xr3:uid="{52BBDE71-F8D3-47CE-9251-6A9A7DFC78E5}" name="Icon" dataDxfId="150">
      <calculatedColumnFormula>ImgDatabase!AO3</calculatedColumnFormula>
    </tableColumn>
    <tableColumn id="3" xr3:uid="{BC9F4EE1-5DAD-4963-B051-F140BBDB125A}" name="Quantity" dataDxfId="149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A50C4983-397B-4300-8717-0E2237970CEB}" name="Character" displayName="Character" ref="A2:K91" headerRowDxfId="407" dataDxfId="406" totalsRowDxfId="405">
  <autoFilter ref="A2:K91" xr:uid="{C78F8660-662A-46FF-93BA-D65807617CAE}"/>
  <sortState xmlns:xlrd2="http://schemas.microsoft.com/office/spreadsheetml/2017/richdata2" ref="A3:BQ91">
    <sortCondition ref="G2:G91"/>
  </sortState>
  <tableColumns count="11">
    <tableColumn id="1" xr3:uid="{D6E5C43E-5C07-49FF-B1B9-ABD557AF19B6}" name="Sl No." dataDxfId="404" totalsRowDxfId="403">
      <calculatedColumnFormula>SUBTOTAL(3,$D$3:Character[[#This Row],[NameHelper]])</calculatedColumnFormula>
    </tableColumn>
    <tableColumn id="67" xr3:uid="{44824374-AEFA-4453-925C-01C7C29F92A0}" name="Icon" dataDxfId="402" totalsRowDxfId="401">
      <calculatedColumnFormula>IFERROR(INDEX(ImgDatabase!$D:$D, MATCH(Character[[#This Row],[NameHelper]], ImgDatabase!$E:$E, 0)), "")</calculatedColumnFormula>
    </tableColumn>
    <tableColumn id="8" xr3:uid="{E0A70E04-20E3-4782-A85F-1ACF648DA187}" name="Name" dataDxfId="400" totalsRowDxfId="399"/>
    <tableColumn id="2" xr3:uid="{23057AD2-2F98-4AC4-B35C-51B7D584B762}" name="NameHelper" dataDxfId="398" totalsRowDxfId="397"/>
    <tableColumn id="3" xr3:uid="{0AF9C27E-11C8-4E4E-91F8-E76E8348E504}" name="Element" dataDxfId="396">
      <calculatedColumnFormula>IFERROR(INDEX(ImgDatabase!$G:$G, MATCH(Character[[#This Row],[NameHelper]], ImgDatabase!$E:$E, 0)), "")</calculatedColumnFormula>
    </tableColumn>
    <tableColumn id="66" xr3:uid="{66B480C5-D129-4F57-BA4D-E91009D66890}" name="Weapon Type" dataDxfId="395" totalsRowDxfId="394">
      <calculatedColumnFormula>IFERROR(INDEX(CharacterDetailsImg[Weapon Type], MATCH(Character[[#This Row],[NameHelper]], CharacterDetailsImg[Name], 0)), "")</calculatedColumnFormula>
    </tableColumn>
    <tableColumn id="62" xr3:uid="{BFE9BC67-A161-4EF5-9121-D0146E5A0056}" name="Version Released" dataDxfId="393" totalsRowDxfId="392">
      <calculatedColumnFormula>IFERROR(INDEX(CharacterDetailsImg[Released Version], MATCH(Character[[#This Row],[NameHelper]], CharacterDetailsImg[Name], 0)), "")</calculatedColumnFormula>
    </tableColumn>
    <tableColumn id="4" xr3:uid="{FFD41670-F581-4DC2-9A71-CD9EBEE81793}" name="Level" dataDxfId="391" totalsRowDxfId="390"/>
    <tableColumn id="5" xr3:uid="{EB001A27-D042-4C62-BA7D-E45BB2185E69}" name="NA" dataDxfId="389" totalsRowDxfId="388"/>
    <tableColumn id="6" xr3:uid="{F70D0D2E-D6B8-4F1E-BB79-7FB00B6C8DE5}" name="Skill" dataDxfId="387" totalsRowDxfId="386"/>
    <tableColumn id="7" xr3:uid="{FC7A010A-90F9-47F4-85F9-27E3EC4FACBE}" name="Burst" dataDxfId="385" totalsRowDxfId="384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CBE7F488-26D2-4060-9FD5-6FDAE5E82AFE}" name="Target" displayName="Target" ref="M2:P91" totalsRowShown="0" headerRowDxfId="383" dataDxfId="381" headerRowBorderDxfId="382" tableBorderDxfId="380">
  <autoFilter ref="M2:P91" xr:uid="{CBE7F488-26D2-4060-9FD5-6FDAE5E82AFE}"/>
  <tableColumns count="4">
    <tableColumn id="1" xr3:uid="{B7415A67-641F-4B5E-9975-805094B9D589}" name="Level" dataDxfId="379"/>
    <tableColumn id="2" xr3:uid="{03862FE3-4387-49A7-BD17-509BB8EAB610}" name="NA" dataDxfId="378"/>
    <tableColumn id="3" xr3:uid="{7E4D3758-AC1A-4B87-9756-992C6BA416CA}" name="Skill" dataDxfId="377"/>
    <tableColumn id="4" xr3:uid="{FAC75E29-6717-4454-AA6A-6B93D0E6D083}" name="Burst" dataDxfId="376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3C3970CA-B3D9-4AF4-8F5F-1420BBC36EE6}" name="WorldBoss" displayName="WorldBoss" ref="T2:U92" totalsRowCount="1" headerRowDxfId="375" dataDxfId="373" totalsRowDxfId="371" headerRowBorderDxfId="374" tableBorderDxfId="372" totalsRowBorderDxfId="370">
  <autoFilter ref="T2:U91" xr:uid="{3C3970CA-B3D9-4AF4-8F5F-1420BBC36EE6}"/>
  <tableColumns count="2">
    <tableColumn id="1" xr3:uid="{EDEF5BC8-91C7-4ED8-9429-DD31B2857790}" name="Material" totalsRowLabel="Total" dataDxfId="369" totalsRowDxfId="368">
      <calculatedColumnFormula>IFERROR(INDEX(ImgDatabase!$I:$I, MATCH(Character[[#This Row],[NameHelper]], ImgDatabase!$E:$E, 0)), "")</calculatedColumnFormula>
    </tableColumn>
    <tableColumn id="3" xr3:uid="{76BA97C1-1204-4ADC-9350-96E7ED530536}" name="Need to Farm" totalsRowFunction="sum" dataDxfId="367" totalsRowDxfId="366">
      <calculatedColumnFormula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calculatedColumnFormula>
    </tableColumn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5515904-4C3C-48B5-B5C0-1FE4DB488B38}" name="TalentBook" displayName="TalentBook" ref="W2:AI92" totalsRowCount="1" headerRowDxfId="365" dataDxfId="364" totalsRowDxfId="362" tableBorderDxfId="363" totalsRowBorderDxfId="361">
  <autoFilter ref="W2:AI91" xr:uid="{F5515904-4C3C-48B5-B5C0-1FE4DB488B38}"/>
  <tableColumns count="13">
    <tableColumn id="1" xr3:uid="{5B797346-890A-485F-A154-C0987A1F020F}" name="Book" totalsRowLabel="Total" dataDxfId="360" totalsRowDxfId="359">
      <calculatedColumnFormula>IFERROR(INDEX(ImgDatabase!$K:$K, MATCH(Character[[#This Row],[NameHelper]], ImgDatabase!$E:$E, 0)), "")</calculatedColumnFormula>
    </tableColumn>
    <tableColumn id="2" xr3:uid="{709C6CFE-156B-4DEA-86FA-FD98FB5883E3}" name="4* Book" totalsRowFunction="sum" dataDxfId="358" totalsRowDxfId="357"/>
    <tableColumn id="3" xr3:uid="{6B952C33-671E-45B1-9D1C-C1420EBDE477}" name="3* Book" totalsRowFunction="sum" dataDxfId="356" totalsRowDxfId="355"/>
    <tableColumn id="4" xr3:uid="{DC509E3E-0AD5-4ECC-8203-288F310C640C}" name="2* Book" totalsRowFunction="sum" dataDxfId="354" totalsRowDxfId="353"/>
    <tableColumn id="5" xr3:uid="{F7708F04-D114-4803-AC2D-35EA9616542D}" name="NA 4*" totalsRowFunction="sum" dataDxfId="352" totalsRowDxfId="351">
      <calculatedColumnFormula>IF(Character[[#This Row],[NA]]=0,0,IF(Target[[#This Row],[NA]]&lt;Character[[#This Row],[NA]],0,LOOKUP(Character[[#This Row],[NA]],TalentDatabase[Talent Level],TalentDatabase[4* Books])-LOOKUP(Target[[#This Row],[NA]],TalentDatabase[Talent Level],TalentDatabase[4* Books])))</calculatedColumnFormula>
    </tableColumn>
    <tableColumn id="6" xr3:uid="{25400DB4-95D6-453D-BF09-F98D729A80D3}" name="NA 3*" totalsRowFunction="sum" dataDxfId="350" totalsRowDxfId="349">
      <calculatedColumnFormula>IF(Character[[#This Row],[NA]]=0,0,IF(Target[[#This Row],[NA]]&lt;Character[[#This Row],[NA]],0,LOOKUP(Character[[#This Row],[NA]],TalentDatabase[Talent Level],TalentDatabase[3* Books])-LOOKUP(Target[[#This Row],[NA]],TalentDatabase[Talent Level],TalentDatabase[3* Books])))</calculatedColumnFormula>
    </tableColumn>
    <tableColumn id="7" xr3:uid="{62F6775A-325F-4AE8-835F-E4FC7F1386F6}" name="NA 2*" totalsRowFunction="sum" dataDxfId="348" totalsRowDxfId="347">
      <calculatedColumnFormula>IF(Character[[#This Row],[NA]]=0,0,IF(Target[[#This Row],[NA]]&lt;Character[[#This Row],[NA]],0,LOOKUP(Character[[#This Row],[NA]],TalentDatabase[Talent Level],TalentDatabase[2* Books])-LOOKUP(Target[[#This Row],[NA]],TalentDatabase[Talent Level],TalentDatabase[2* Books])))</calculatedColumnFormula>
    </tableColumn>
    <tableColumn id="8" xr3:uid="{1A1A6221-6151-45E6-A122-C0D8B1AF44EF}" name="Skill 4*" totalsRowFunction="sum" dataDxfId="346" totalsRowDxfId="345">
      <calculatedColumnFormula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calculatedColumnFormula>
    </tableColumn>
    <tableColumn id="9" xr3:uid="{8B100FD7-81FA-4A90-A641-80FDA438C2A4}" name="Skill 3*" totalsRowFunction="sum" dataDxfId="344" totalsRowDxfId="343">
      <calculatedColumnFormula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calculatedColumnFormula>
    </tableColumn>
    <tableColumn id="10" xr3:uid="{B2899F44-57D2-482B-A3AD-D02DF6452587}" name="Skill 2*" totalsRowFunction="sum" dataDxfId="342" totalsRowDxfId="341">
      <calculatedColumnFormula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calculatedColumnFormula>
    </tableColumn>
    <tableColumn id="11" xr3:uid="{8310E3B7-357B-4624-AC7D-192A757DFB25}" name="Burst 4*" totalsRowFunction="sum" dataDxfId="340" totalsRowDxfId="339">
      <calculatedColumnFormula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calculatedColumnFormula>
    </tableColumn>
    <tableColumn id="12" xr3:uid="{A68315AA-8272-4252-B5CE-3E9DE65C47C8}" name="Burst 3*" totalsRowFunction="sum" dataDxfId="338" totalsRowDxfId="337">
      <calculatedColumnFormula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calculatedColumnFormula>
    </tableColumn>
    <tableColumn id="13" xr3:uid="{E43D051E-2375-4811-AFFB-13B1F752294C}" name="Burst 2*" totalsRowFunction="sum" dataDxfId="336" totalsRowDxfId="335">
      <calculatedColumnFormula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calculatedColumnFormula>
    </tableColumn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CDBD7E68-E9A3-47D2-9FDC-D3F422AEEB4E}" name="WeeklyBoss" displayName="WeeklyBoss" ref="AK2:AO92" totalsRowCount="1" headerRowDxfId="334" dataDxfId="332" totalsRowDxfId="330" headerRowBorderDxfId="333" tableBorderDxfId="331" totalsRowBorderDxfId="329">
  <autoFilter ref="AK2:AO91" xr:uid="{CDBD7E68-E9A3-47D2-9FDC-D3F422AEEB4E}"/>
  <tableColumns count="5">
    <tableColumn id="1" xr3:uid="{AEFA3055-2B30-41EF-BF0F-80E44EDF0698}" name="Material" totalsRowLabel="Total" dataDxfId="328" totalsRowDxfId="327">
      <calculatedColumnFormula>IFERROR(INDEX(ImgDatabase!$J:$J, MATCH(Character[[#This Row],[NameHelper]], ImgDatabase!$E:$E, 0)), "")</calculatedColumnFormula>
    </tableColumn>
    <tableColumn id="2" xr3:uid="{35A10E3D-A0D8-45BA-932B-EB3E6BA9E4D9}" name="Need to Farm" totalsRowFunction="sum" dataDxfId="326" totalsRowDxfId="325">
      <calculatedColumnFormula>SUM(WeeklyBoss[[#This Row],[NA]:[Burst]])</calculatedColumnFormula>
    </tableColumn>
    <tableColumn id="3" xr3:uid="{339F0D4B-3170-471D-86F0-85A8FB2554DB}" name="NA" dataDxfId="324" totalsRowDxfId="323">
      <calculatedColumnFormula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calculatedColumnFormula>
    </tableColumn>
    <tableColumn id="4" xr3:uid="{13B34018-EC31-4BCE-A5D8-ED1B09361398}" name="Skill" dataDxfId="322" totalsRowDxfId="321">
      <calculatedColumnFormula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calculatedColumnFormula>
    </tableColumn>
    <tableColumn id="5" xr3:uid="{00936646-2280-48EE-B6CF-49166E37C994}" name="Burst" totalsRowFunction="sum" dataDxfId="320" totalsRowDxfId="319">
      <calculatedColumnFormula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calculatedColumnFormula>
    </tableColumn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E9038080-73FA-46B6-8C7F-6E42568CE87D}" name="Table36" displayName="Table36" ref="R2:R92" totalsRowShown="0" headerRowDxfId="318" dataDxfId="316" headerRowBorderDxfId="317" tableBorderDxfId="315">
  <autoFilter ref="R2:R92" xr:uid="{E9038080-73FA-46B6-8C7F-6E42568CE87D}"/>
  <tableColumns count="1">
    <tableColumn id="1" xr3:uid="{9591BB0B-7B80-407D-A39C-85173007C592}" name="Hero's Wits" dataDxfId="314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DAA79E2B-9C5F-4DD3-B9B8-541505781E2A}" name="LocalSpecialties3" displayName="LocalSpecialties3" ref="AQ2:AR92" totalsRowCount="1" headerRowDxfId="313" dataDxfId="311" totalsRowDxfId="309" headerRowBorderDxfId="312" tableBorderDxfId="310" totalsRowBorderDxfId="308">
  <autoFilter ref="AQ2:AR91" xr:uid="{DAA79E2B-9C5F-4DD3-B9B8-541505781E2A}"/>
  <tableColumns count="2">
    <tableColumn id="1" xr3:uid="{4B49BC3E-6408-45A5-B0A0-B52625511988}" name="Local Specialties" totalsRowLabel="Total" dataDxfId="307" totalsRowDxfId="306">
      <calculatedColumnFormula>IFERROR(INDEX(ImgDatabase!$M:$M, MATCH(Character[[#This Row],[NameHelper]], ImgDatabase!$E:$E, 0)), "")</calculatedColumnFormula>
    </tableColumn>
    <tableColumn id="2" xr3:uid="{2D726768-9690-46D0-90ED-61C31AD5D816}" name="Need to Farm" totalsRowFunction="sum" dataDxfId="305" totalsRowDxfId="304">
      <calculatedColumnFormula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calculatedColumnFormula>
    </tableColumn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3D3F3BD9-AE5A-4B8C-B285-F608EB6C67D4}" name="Gemstone" displayName="Gemstone" ref="AT2:AX92" totalsRowCount="1" headerRowDxfId="303" dataDxfId="301" totalsRowDxfId="299" headerRowBorderDxfId="302" tableBorderDxfId="300" totalsRowBorderDxfId="298">
  <autoFilter ref="AT2:AX91" xr:uid="{3D3F3BD9-AE5A-4B8C-B285-F608EB6C67D4}"/>
  <tableColumns count="5">
    <tableColumn id="1" xr3:uid="{C558A1CB-C4D4-42E1-8077-52117AAC450F}" name="Stone Type" totalsRowLabel="Total" dataDxfId="297" totalsRowDxfId="296">
      <calculatedColumnFormula>IFERROR(INDEX(ImgDatabase!$N:$N, MATCH(Character[[#This Row],[NameHelper]], ImgDatabase!$E:$E, 0)), "")</calculatedColumnFormula>
    </tableColumn>
    <tableColumn id="2" xr3:uid="{ACEFD48C-BDEB-4465-B61E-DD6D41462A0C}" name="Gemstone" totalsRowFunction="sum" dataDxfId="295" totalsRowDxfId="294">
      <calculatedColumnFormula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calculatedColumnFormula>
    </tableColumn>
    <tableColumn id="3" xr3:uid="{0D4B439C-1066-44F4-A537-0B6CF7D2298C}" name="Chunk" totalsRowFunction="sum" dataDxfId="293" totalsRowDxfId="292">
      <calculatedColumnFormula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calculatedColumnFormula>
    </tableColumn>
    <tableColumn id="4" xr3:uid="{FB2034CF-2F8B-4D83-A0D5-1AC5C8E992F3}" name="Fragment" totalsRowFunction="sum" dataDxfId="291" totalsRowDxfId="290">
      <calculatedColumnFormula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calculatedColumnFormula>
    </tableColumn>
    <tableColumn id="5" xr3:uid="{9B722877-E3F2-4DB5-8D55-31AFDA62B505}" name="Silver" totalsRowFunction="sum" dataDxfId="289" totalsRowDxfId="288">
      <calculatedColumnFormula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calculatedColumnFormula>
    </tableColumn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5C0C2AB3-6BA3-4C7F-834A-2C7DD357F775}" name="MonsterMaterials" displayName="MonsterMaterials" ref="AZ2:BR92" totalsRowCount="1" headerRowDxfId="287" dataDxfId="285" totalsRowDxfId="283" headerRowBorderDxfId="286" tableBorderDxfId="284" totalsRowBorderDxfId="282">
  <autoFilter ref="AZ2:BR91" xr:uid="{5C0C2AB3-6BA3-4C7F-834A-2C7DD357F775}"/>
  <tableColumns count="19">
    <tableColumn id="1" xr3:uid="{106CABA0-2DAC-4C6F-AFA1-B1F153E631EC}" name="Material Type" totalsRowLabel="Total" dataDxfId="281" totalsRowDxfId="187">
      <calculatedColumnFormula>IFERROR(INDEX(ImgDatabase!$L:$L, MATCH(Character[[#This Row],[NameHelper]], ImgDatabase!$E:$E, 0)), "")</calculatedColumnFormula>
    </tableColumn>
    <tableColumn id="2" xr3:uid="{02B968DF-4C33-4881-B104-6FF9633C616C}" name="3* (Asc)" totalsRowFunction="sum" dataDxfId="280" totalsRowDxfId="186">
      <calculatedColumnFormula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calculatedColumnFormula>
    </tableColumn>
    <tableColumn id="3" xr3:uid="{89A3CC45-3452-4442-AFB2-6EB46330C55C}" name="2* (Asc)" totalsRowFunction="sum" dataDxfId="279" totalsRowDxfId="185">
      <calculatedColumnFormula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calculatedColumnFormula>
    </tableColumn>
    <tableColumn id="4" xr3:uid="{D4714B2F-9A3E-4168-8B30-3A313B4C3800}" name="1* (Asc)" totalsRowFunction="sum" dataDxfId="278" totalsRowDxfId="184">
      <calculatedColumnFormula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calculatedColumnFormula>
    </tableColumn>
    <tableColumn id="5" xr3:uid="{97DAC930-D806-4876-B887-77A826828036}" name="3* (Tal)" totalsRowFunction="sum" dataDxfId="277" totalsRowDxfId="183">
      <calculatedColumnFormula>SUM(BG3,BJ3,BM3)</calculatedColumnFormula>
    </tableColumn>
    <tableColumn id="6" xr3:uid="{424D024E-31F6-468B-A40E-47BB66393FFA}" name="2* (Tal)" totalsRowFunction="sum" dataDxfId="276" totalsRowDxfId="182">
      <calculatedColumnFormula>SUM(BH3,BK3,BN3)</calculatedColumnFormula>
    </tableColumn>
    <tableColumn id="7" xr3:uid="{B3E273FD-E8BA-43EB-8043-9441EFA60A56}" name="1* (Tal)" totalsRowFunction="sum" dataDxfId="275" totalsRowDxfId="181">
      <calculatedColumnFormula>SUM(BI3,BL3,BO3)</calculatedColumnFormula>
    </tableColumn>
    <tableColumn id="8" xr3:uid="{3CA691F7-15E3-422B-AAA5-1EB5131B5AC0}" name="3*1" totalsRowFunction="sum" dataDxfId="274" totalsRowDxfId="180">
      <calculatedColumnFormula>IF(Character[[#This Row],[NA]]=0,0,IF(Target[[#This Row],[NA]]&lt;Character[[#This Row],[NA]],0,LOOKUP(Character[[#This Row],[NA]],TalentDatabase[Talent Level],TalentDatabase[3* Mats])-LOOKUP(Target[[#This Row],[NA]],TalentDatabase[Talent Level],TalentDatabase[3* Mats])))</calculatedColumnFormula>
    </tableColumn>
    <tableColumn id="9" xr3:uid="{1D63B903-43C4-459C-847B-2B586898481C}" name="2*1" totalsRowFunction="sum" dataDxfId="273" totalsRowDxfId="179">
      <calculatedColumnFormula>IF(Character[[#This Row],[NA]]=0,0,IF(Target[[#This Row],[NA]]&lt;Character[[#This Row],[NA]],0,LOOKUP(Character[[#This Row],[NA]],TalentDatabase[Talent Level],TalentDatabase[2* Mats])-LOOKUP(Target[[#This Row],[NA]],TalentDatabase[Talent Level],TalentDatabase[2* Mats])))</calculatedColumnFormula>
    </tableColumn>
    <tableColumn id="10" xr3:uid="{78740513-5E5E-4F1B-8D41-6EF5B4EC38DB}" name="1*1" totalsRowFunction="sum" dataDxfId="272" totalsRowDxfId="178">
      <calculatedColumnFormula>IF(Character[[#This Row],[NA]]=0,0,IF(Target[[#This Row],[NA]]&lt;Character[[#This Row],[NA]],0,LOOKUP(Character[[#This Row],[NA]],TalentDatabase[Talent Level],TalentDatabase[1* Mats])-LOOKUP(Target[[#This Row],[NA]],TalentDatabase[Talent Level],TalentDatabase[1* Mats])))</calculatedColumnFormula>
    </tableColumn>
    <tableColumn id="11" xr3:uid="{6F7028AC-024A-47F6-AE6A-912C9253A7F7}" name="3*2" totalsRowFunction="sum" dataDxfId="271" totalsRowDxfId="177">
      <calculatedColumnFormula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calculatedColumnFormula>
    </tableColumn>
    <tableColumn id="12" xr3:uid="{527EE696-63CF-4C2A-8261-6807AF0A7933}" name="2*2" totalsRowFunction="sum" dataDxfId="270" totalsRowDxfId="176">
      <calculatedColumnFormula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calculatedColumnFormula>
    </tableColumn>
    <tableColumn id="13" xr3:uid="{7CE1384D-C97B-4215-98A4-5C3F9128FDAD}" name="1*2" totalsRowFunction="sum" dataDxfId="269" totalsRowDxfId="175">
      <calculatedColumnFormula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calculatedColumnFormula>
    </tableColumn>
    <tableColumn id="14" xr3:uid="{36F23D1C-C573-49B7-9757-3980FD8BC677}" name="3*3" totalsRowFunction="sum" dataDxfId="268" totalsRowDxfId="174">
      <calculatedColumnFormula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calculatedColumnFormula>
    </tableColumn>
    <tableColumn id="15" xr3:uid="{4FDD6BBC-F81F-4D7D-B4E8-76B024D5718F}" name="2*3" totalsRowFunction="sum" dataDxfId="267" totalsRowDxfId="173">
      <calculatedColumnFormula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calculatedColumnFormula>
    </tableColumn>
    <tableColumn id="16" xr3:uid="{D5FBAD62-2189-48C9-B51C-8221D14419CA}" name="1*3" totalsRowFunction="sum" dataDxfId="266" totalsRowDxfId="172">
      <calculatedColumnFormula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calculatedColumnFormula>
    </tableColumn>
    <tableColumn id="17" xr3:uid="{D89D1C18-DF78-4B75-80D0-5790B562251E}" name="3* Mats" totalsRowFunction="sum" dataDxfId="265" totalsRowDxfId="171">
      <calculatedColumnFormula>SUM(BA3,BD3)</calculatedColumnFormula>
    </tableColumn>
    <tableColumn id="18" xr3:uid="{3B2B73EF-27E5-4EBA-BFF0-1BAF7F7D66E4}" name="2* Mats" totalsRowFunction="sum" dataDxfId="264" totalsRowDxfId="170">
      <calculatedColumnFormula>SUM(BB3,BE3)</calculatedColumnFormula>
    </tableColumn>
    <tableColumn id="19" xr3:uid="{B7D5A478-56E7-4AE0-82DE-F6ACE6DF2836}" name="1* Mats" totalsRowFunction="sum" dataDxfId="263" totalsRowDxfId="169">
      <calculatedColumnFormula>SUM(BC3,BF3)</calculatedColumnFormula>
    </tableColumn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D5F56FD6-5BB9-44A1-B310-53ABB8CBB5B9}" name="Table40" displayName="Table40" ref="BT2:BX92" totalsRowCount="1" headerRowDxfId="262" dataDxfId="260" totalsRowDxfId="259" headerRowBorderDxfId="261" totalsRowBorderDxfId="258">
  <autoFilter ref="BT2:BX91" xr:uid="{D5F56FD6-5BB9-44A1-B310-53ABB8CBB5B9}"/>
  <tableColumns count="5">
    <tableColumn id="1" xr3:uid="{1A83F816-AD49-43CF-BB95-C51ACC09419D}" name="Ascension_x000a_Cost" totalsRowFunction="sum" dataDxfId="257" totalsRowDxfId="256">
      <calculatedColumnFormula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calculatedColumnFormula>
    </tableColumn>
    <tableColumn id="2" xr3:uid="{AA2A4B9E-999C-464B-AB23-11EC0C80D4E7}" name="Talent Cost_x000a_(NA)" totalsRowFunction="sum" dataDxfId="255" totalsRowDxfId="254">
      <calculatedColumnFormula>IF(Character[[#This Row],[NA]]=0,0,IF(Target[[#This Row],[NA]]&lt;Character[[#This Row],[NA]],0,LOOKUP(Character[[#This Row],[NA]],TalentDatabase[Talent Level],TalentDatabase[Mora])-LOOKUP(Target[[#This Row],[NA]],TalentDatabase[Talent Level],TalentDatabase[Mora])))</calculatedColumnFormula>
    </tableColumn>
    <tableColumn id="3" xr3:uid="{76992DD2-1E62-4406-9A8C-88AC1AA60BBE}" name="Talent Cost_x000a_(Skill)" totalsRowFunction="sum" dataDxfId="253" totalsRowDxfId="252">
      <calculatedColumnFormula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calculatedColumnFormula>
    </tableColumn>
    <tableColumn id="4" xr3:uid="{1A6AD202-3A25-4CF8-8C13-8AD47405C71D}" name="Talent Cost_x000a_(Burst)" totalsRowFunction="sum" dataDxfId="251" totalsRowDxfId="250">
      <calculatedColumnFormula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calculatedColumnFormula>
    </tableColumn>
    <tableColumn id="5" xr3:uid="{49CEB664-1770-419C-B690-E844C330F340}" name="Total_x000a_Cost" totalsRowFunction="sum" dataDxfId="249" totalsRowDxfId="248">
      <calculatedColumnFormula>SUM(Table40[[#This Row],[Ascension
Cost]:[Talent Cost
(Burst)]])</calculatedColumnFormula>
    </tableColumn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7DE17C-8D7E-4333-9E2F-9129AB786FA7}" name="World_Boss" displayName="World_Boss" ref="A2:G34" totalsRowCount="1" headerRowDxfId="40" dataDxfId="247" totalsRowDxfId="246" headerRowBorderDxfId="41">
  <autoFilter ref="A2:G33" xr:uid="{75761221-EEEE-4308-995F-040E07A72874}"/>
  <sortState xmlns:xlrd2="http://schemas.microsoft.com/office/spreadsheetml/2017/richdata2" ref="A3:G33">
    <sortCondition ref="D2:D33"/>
  </sortState>
  <tableColumns count="7">
    <tableColumn id="1" xr3:uid="{100EA993-FA4F-47D1-A56D-9C7CB1E50869}" name="Sl No." totalsRowLabel="Total" dataDxfId="48" totalsRowDxfId="36">
      <calculatedColumnFormula>SUBTOTAL(3,$C$3:World_Boss[[#This Row],[Name]])</calculatedColumnFormula>
    </tableColumn>
    <tableColumn id="7" xr3:uid="{95C50174-02C8-4EAC-9178-AAB7646DC9A6}" name="Boss Name" dataDxfId="47" totalsRowDxfId="35">
      <calculatedColumnFormula>IFERROR(INDEX(WorldBossImg[Icon], MATCH(World_Boss[[#This Row],[Name]], WorldBossImg[Name], 0)), "")</calculatedColumnFormula>
    </tableColumn>
    <tableColumn id="2" xr3:uid="{CE78B17E-A0A1-40CF-B5A0-BAC11C1E73B4}" name="Name" dataDxfId="46" totalsRowDxfId="34"/>
    <tableColumn id="6" xr3:uid="{2E05B981-DF2A-42C1-8B17-183136F03967}" name="Version" dataDxfId="45" totalsRowDxfId="33"/>
    <tableColumn id="3" xr3:uid="{736FF383-833A-41BE-80BC-05287188C2E3}" name="Mats Needed" totalsRowFunction="sum" dataDxfId="39" totalsRowDxfId="44">
      <calculatedColumnFormula>SUMIF(WorldBoss[Material],World_Boss[[#This Row],[Boss Name]],WorldBoss[Need to Farm])</calculatedColumnFormula>
    </tableColumn>
    <tableColumn id="4" xr3:uid="{72A3CB5D-0DFF-473E-A9CA-C382695C0795}" name="Mats Acquired" totalsRowFunction="sum" dataDxfId="38" totalsRowDxfId="43">
      <calculatedColumnFormula>IFERROR(INDEX(WorldBossInv[Quantity], MATCH(World_Boss[[#This Row],[Boss Name]], WorldBossInv[Icon], 0)), "")</calculatedColumnFormula>
    </tableColumn>
    <tableColumn id="5" xr3:uid="{8F190CE4-749D-4ED5-8194-9710BCFE4279}" name="Remaining Mats" totalsRowFunction="sum" dataDxfId="37" totalsRowDxfId="42">
      <calculatedColumnFormula>E3-F3</calculatedColumnFormula>
    </tableColumn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9118A6-159A-4FBD-B4FB-632CECCE43B9}" name="Talent_Books" displayName="Talent_Books" ref="A3:V19" totalsRowCount="1" headerRowDxfId="97" dataDxfId="96" totalsRowDxfId="95" headerRowBorderDxfId="93" tableBorderDxfId="94">
  <autoFilter ref="A3:V18" xr:uid="{6D9118A6-159A-4FBD-B4FB-632CECCE43B9}"/>
  <sortState xmlns:xlrd2="http://schemas.microsoft.com/office/spreadsheetml/2017/richdata2" ref="A4:V18">
    <sortCondition ref="D3:D18"/>
  </sortState>
  <tableColumns count="22">
    <tableColumn id="1" xr3:uid="{AAA4A7E4-B9F5-4F75-ABA8-F21690018EA9}" name="Sl No." dataDxfId="92" totalsRowDxfId="91">
      <calculatedColumnFormula>SUBTOTAL(3,$B$4:Talent_Books[[#This Row],[Book Region]])</calculatedColumnFormula>
    </tableColumn>
    <tableColumn id="2" xr3:uid="{78FA7F45-740E-4EF8-BDEC-5978699DFEB3}" name="Book Region" dataDxfId="90" totalsRowDxfId="89"/>
    <tableColumn id="3" xr3:uid="{848E969F-1F78-4291-9F3E-8FE3C036CF09}" name="NameHelper" dataDxfId="88" totalsRowDxfId="87"/>
    <tableColumn id="13" xr3:uid="{70530C69-55A3-47EB-B1D8-597F704A39E1}" name="Version" totalsRowLabel="Total" dataDxfId="86" totalsRowDxfId="85"/>
    <tableColumn id="4" xr3:uid="{40F4725D-358F-4B6F-B580-1492C9F45E95}" name="2* Book" dataDxfId="84" totalsRowDxfId="83">
      <calculatedColumnFormula>IFERROR(INDEX(TalentBooksImg[Icon], MATCH(_xlfn.CONCAT("teachingsof",Talent_Books[[#This Row],[NameHelper]]), TalentBooksImg[Name], 0)), "")</calculatedColumnFormula>
    </tableColumn>
    <tableColumn id="5" xr3:uid="{F2A14402-8AC1-4401-B0B1-45A5E759C80E}" name="2* Need" totalsRowFunction="sum" dataDxfId="82" totalsRowDxfId="81">
      <calculatedColumnFormula>SUMIF(TalentBook[Book],Talent_Books[[#This Row],[4* Book]],TalentBook[2* Book])</calculatedColumnFormula>
    </tableColumn>
    <tableColumn id="18" xr3:uid="{6FF2AEB2-0FCA-42FE-841E-6A9EDCBF84A2}" name="3* Book" dataDxfId="80" totalsRowDxfId="79">
      <calculatedColumnFormula>IFERROR(INDEX(TalentBooksImg[Icon], MATCH(_xlfn.CONCAT("guideto",Talent_Books[[#This Row],[NameHelper]]), TalentBooksImg[Name], 0)), "")</calculatedColumnFormula>
    </tableColumn>
    <tableColumn id="19" xr3:uid="{C83A209A-13DD-49FB-BC65-A96A521E5C45}" name="3* Need" totalsRowFunction="sum" dataDxfId="78" totalsRowDxfId="77">
      <calculatedColumnFormula>SUMIF(TalentBook[Book],Talent_Books[[#This Row],[4* Book]],TalentBook[3* Book])</calculatedColumnFormula>
    </tableColumn>
    <tableColumn id="17" xr3:uid="{893A0467-2D22-463F-B77D-ABBC1CE462E5}" name="4* Book" dataDxfId="76" totalsRowDxfId="75">
      <calculatedColumnFormula>IFERROR(INDEX(TalentBooksImg[Icon], MATCH(_xlfn.CONCAT("philosophiesof",Talent_Books[[#This Row],[NameHelper]]), TalentBooksImg[Name], 0)), "")</calculatedColumnFormula>
    </tableColumn>
    <tableColumn id="6" xr3:uid="{06ACA8D3-4AE5-4828-AD0D-4FF0D624F3DA}" name="4* Need" totalsRowFunction="sum" dataDxfId="74" totalsRowDxfId="73">
      <calculatedColumnFormula>SUMIF(TalentBook[Book],Talent_Books[[#This Row],[4* Book]],TalentBook[4* Book])</calculatedColumnFormula>
    </tableColumn>
    <tableColumn id="7" xr3:uid="{9B3F32CF-7532-4D42-A127-BA137803F7CC}" name="2* Book2" dataDxfId="72" totalsRowDxfId="71">
      <calculatedColumnFormula>IFERROR(INDEX(TalentBooksImg[Icon], MATCH(_xlfn.CONCAT("teachingsof",Talent_Books[[#This Row],[NameHelper]]), TalentBooksImg[Name], 0)), "")</calculatedColumnFormula>
    </tableColumn>
    <tableColumn id="20" xr3:uid="{6B5B450B-70DB-41AC-9E14-568FFC401037}" name="2* Need2" totalsRowFunction="sum" dataDxfId="70" totalsRowDxfId="69">
      <calculatedColumnFormula>IFERROR(INDEX(TalentBooksInv[Quantity], MATCH(Talent_Books[[#This Row],[2* Book2]], TalentBooksInv[Icon], 0)), "")</calculatedColumnFormula>
    </tableColumn>
    <tableColumn id="21" xr3:uid="{1387F69E-B7F0-4653-927B-BB5B211ED270}" name="3* Book2" dataDxfId="68" totalsRowDxfId="67">
      <calculatedColumnFormula>IFERROR(INDEX(TalentBooksImg[Icon], MATCH(_xlfn.CONCAT("guideto",Talent_Books[[#This Row],[NameHelper]]), TalentBooksImg[Name], 0)), "")</calculatedColumnFormula>
    </tableColumn>
    <tableColumn id="22" xr3:uid="{AE6F2E67-46D8-41A6-A4DF-5C019ED6248B}" name="3* Need2" totalsRowFunction="sum" dataDxfId="66" totalsRowDxfId="65">
      <calculatedColumnFormula>IFERROR(INDEX(TalentBooksInv[Quantity], MATCH(Talent_Books[[#This Row],[3* Book2]], TalentBooksInv[Icon], 0)), "")</calculatedColumnFormula>
    </tableColumn>
    <tableColumn id="8" xr3:uid="{72AFA39A-5EAC-48E2-AE40-06E58B34C1AD}" name="4* Book2" dataDxfId="64" totalsRowDxfId="63">
      <calculatedColumnFormula>IFERROR(INDEX(TalentBooksImg[Icon], MATCH(_xlfn.CONCAT("philosophiesof",Talent_Books[[#This Row],[NameHelper]]), TalentBooksImg[Name], 0)), "")</calculatedColumnFormula>
    </tableColumn>
    <tableColumn id="9" xr3:uid="{6A9267B2-6490-4215-B346-F474A9C0EFF9}" name="4* Need2" totalsRowFunction="sum" dataDxfId="62" totalsRowDxfId="61">
      <calculatedColumnFormula>IFERROR(INDEX(TalentBooksInv[Quantity], MATCH(Talent_Books[[#This Row],[4* Book2]], TalentBooksInv[Icon], 0)), "")</calculatedColumnFormula>
    </tableColumn>
    <tableColumn id="10" xr3:uid="{E6D5A6EE-DED9-4553-B39F-06B0B5C5373B}" name="2* Book3" dataDxfId="60" totalsRowDxfId="59">
      <calculatedColumnFormula>IFERROR(INDEX(TalentBooksImg[Icon], MATCH(_xlfn.CONCAT("teachingsof",Talent_Books[[#This Row],[NameHelper]]), TalentBooksImg[Name], 0)), "")</calculatedColumnFormula>
    </tableColumn>
    <tableColumn id="23" xr3:uid="{B75670AF-D8CD-4D91-9A3E-7ACC56D609E4}" name="2* Need3" totalsRowFunction="sum" dataDxfId="58" totalsRowDxfId="57">
      <calculatedColumnFormula>Talent_Books[[#This Row],[2* Need]]-Talent_Books[[#This Row],[2* Need2]]</calculatedColumnFormula>
    </tableColumn>
    <tableColumn id="25" xr3:uid="{8E18B6A3-E6F0-4AFE-849A-183A1AB80A5D}" name="3* Book3" dataDxfId="56" totalsRowDxfId="55">
      <calculatedColumnFormula>IFERROR(INDEX(TalentBooksImg[Icon], MATCH(_xlfn.CONCAT("guideto",Talent_Books[[#This Row],[NameHelper]]), TalentBooksImg[Name], 0)), "")</calculatedColumnFormula>
    </tableColumn>
    <tableColumn id="24" xr3:uid="{87603BC8-55F5-405F-A558-8F64C891BBC7}" name="3* Need3" totalsRowFunction="sum" dataDxfId="54" totalsRowDxfId="53">
      <calculatedColumnFormula>Talent_Books[[#This Row],[3* Need]]-Talent_Books[[#This Row],[3* Need2]]</calculatedColumnFormula>
    </tableColumn>
    <tableColumn id="11" xr3:uid="{B3750A25-F5EB-4E0D-B5E9-1AE5B505E431}" name="4* Book3" dataDxfId="52" totalsRowDxfId="51">
      <calculatedColumnFormula>IFERROR(INDEX(TalentBooksImg[Icon], MATCH(_xlfn.CONCAT("philosophiesof",Talent_Books[[#This Row],[NameHelper]]), TalentBooksImg[Name], 0)), "")</calculatedColumnFormula>
    </tableColumn>
    <tableColumn id="12" xr3:uid="{1FC80303-8A00-4341-9ADC-462F59AD5F0F}" name="4* Need3" totalsRowFunction="sum" dataDxfId="50" totalsRowDxfId="49">
      <calculatedColumnFormula>Talent_Books[[#This Row],[4* Need]]-Talent_Books[[#This Row],[4* Need2]]</calculatedColumnFormula>
    </tableColumn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D12F913-D745-4C24-ACC2-50E45CE14F5C}" name="Weekly_Boss" displayName="Weekly_Boss" ref="A2:H33" totalsRowCount="1" headerRowDxfId="26" dataDxfId="245" totalsRowDxfId="244" headerRowBorderDxfId="27">
  <autoFilter ref="A2:H32" xr:uid="{0D12F913-D745-4C24-ACC2-50E45CE14F5C}"/>
  <sortState xmlns:xlrd2="http://schemas.microsoft.com/office/spreadsheetml/2017/richdata2" ref="A3:H32">
    <sortCondition ref="E2:E32"/>
  </sortState>
  <tableColumns count="8">
    <tableColumn id="1" xr3:uid="{1AF8B431-0CA2-4C3F-ACEE-D1594E30F657}" name="Sl No." totalsRowLabel="Total" dataDxfId="32" totalsRowDxfId="19">
      <calculatedColumnFormula>SUBTOTAL(3,$B$3:Weekly_Boss[[#This Row],[Weekly Boss]])</calculatedColumnFormula>
    </tableColumn>
    <tableColumn id="2" xr3:uid="{9946B1E7-6265-4792-88FB-7D4B0ADE2782}" name="Weekly Boss" dataDxfId="31" totalsRowDxfId="18"/>
    <tableColumn id="8" xr3:uid="{DB84506D-7729-45DB-B9D1-BA2FA5BE2C4B}" name="NameHelper" dataDxfId="30" totalsRowDxfId="17"/>
    <tableColumn id="3" xr3:uid="{2D8682D7-AECB-442B-BE29-2F38E80C2C45}" name="Weekly Boss Material" dataDxfId="29" totalsRowDxfId="16">
      <calculatedColumnFormula>IFERROR(INDEX(WeeklyBossImg[Icon], MATCH(Weekly_Boss[[#This Row],[NameHelper]], WeeklyBossImg[Name], 0)), "")</calculatedColumnFormula>
    </tableColumn>
    <tableColumn id="7" xr3:uid="{8086B8DB-CE3D-4BBE-AB26-5A5B8C8E69F7}" name="Version Released" dataDxfId="28" totalsRowDxfId="15"/>
    <tableColumn id="4" xr3:uid="{34E1C2BE-5B37-4ADF-BA9D-FE111D4F04F4}" name="Mats Needed" totalsRowFunction="sum" dataDxfId="25" totalsRowDxfId="22">
      <calculatedColumnFormula>SUMIF(WeeklyBoss[Material],Weekly_Boss[[#This Row],[Weekly Boss Material]],WeeklyBoss[Need to Farm])</calculatedColumnFormula>
    </tableColumn>
    <tableColumn id="5" xr3:uid="{3324C55E-E38C-41AA-A95E-327F4EC0AD70}" name="Mats Acquired" totalsRowFunction="sum" dataDxfId="24" totalsRowDxfId="21">
      <calculatedColumnFormula>IFERROR(INDEX(WeeklyBossInv[Quantity], MATCH(Weekly_Boss[[#This Row],[Weekly Boss Material]],WeeklyBossInv[Icon], 0)), "")</calculatedColumnFormula>
    </tableColumn>
    <tableColumn id="6" xr3:uid="{6E441E18-6E87-4320-A580-1EEBB3269CE1}" name="Remaining Mats" totalsRowFunction="custom" dataDxfId="23" totalsRowDxfId="20">
      <calculatedColumnFormula>F3-G3</calculatedColumnFormula>
      <totalsRowFormula>SUMIF(H3:H32,"&gt;=0")</totalsRowFormula>
    </tableColumn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9620294-5B6F-4F6B-A24F-0A7E9FA17EBC}" name="Ascension_Flower" displayName="Ascension_Flower" ref="A2:G46" totalsRowCount="1" headerRowDxfId="243" dataDxfId="242" totalsRowDxfId="241" totalsRowBorderDxfId="10">
  <autoFilter ref="A2:G45" xr:uid="{0D12F913-D745-4C24-ACC2-50E45CE14F5C}"/>
  <sortState xmlns:xlrd2="http://schemas.microsoft.com/office/spreadsheetml/2017/richdata2" ref="A3:G45">
    <sortCondition ref="D2:D45"/>
  </sortState>
  <tableColumns count="7">
    <tableColumn id="1" xr3:uid="{51FEBC3D-1386-4C46-84E4-81ECE9899AAC}" name="Sl No." totalsRowLabel="Total" dataDxfId="14" totalsRowDxfId="9">
      <calculatedColumnFormula>SUBTOTAL(3,$B$3:Ascension_Flower[[#This Row],[Specialty]])</calculatedColumnFormula>
    </tableColumn>
    <tableColumn id="7" xr3:uid="{514C336B-AC58-4280-AB65-1C884595517B}" name="Specialty" dataDxfId="13" totalsRowDxfId="8">
      <calculatedColumnFormula>IFERROR(INDEX(LocalSpecialtiesImg[Icon], MATCH(Ascension_Flower[[#This Row],[HelperName]],LocalSpecialtiesImg[Name], 0)), "")</calculatedColumnFormula>
    </tableColumn>
    <tableColumn id="2" xr3:uid="{5EED3DFC-619A-4F6C-9F55-DFFA136B240B}" name="HelperName" dataDxfId="12" totalsRowDxfId="7"/>
    <tableColumn id="3" xr3:uid="{2E0BE8BD-94A9-45F3-87C2-A844CA07F639}" name="Link to Interactive Map" dataDxfId="11" totalsRowDxfId="6"/>
    <tableColumn id="4" xr3:uid="{C8723A94-0DF1-4181-95F1-5B2320ABDB29}" name="Flowers Needed" totalsRowFunction="sum" dataDxfId="2" totalsRowDxfId="5">
      <calculatedColumnFormula>SUMIF(LocalSpecialties3[Local Specialties],Ascension_Flower[[#This Row],[Specialty]],LocalSpecialties3[Need to Farm])</calculatedColumnFormula>
    </tableColumn>
    <tableColumn id="5" xr3:uid="{7AEF3766-2EDE-467B-991F-AC7B238DD897}" name="Flowers Acquired" totalsRowFunction="sum" dataDxfId="1" totalsRowDxfId="4">
      <calculatedColumnFormula>IFERROR(INDEX(LocalSpecialtiesInv[Quantity], MATCH(Ascension_Flower[[#This Row],[Specialty]], LocalSpecialtiesInv[Icon], 0)), "")</calculatedColumnFormula>
    </tableColumn>
    <tableColumn id="6" xr3:uid="{C360486C-653F-4F56-9585-5C98BBC0A13D}" name="Remaining Flowers" totalsRowFunction="custom" dataDxfId="0" totalsRowDxfId="3">
      <calculatedColumnFormula>Ascension_Flower[[#This Row],[Flowers Needed]]-Ascension_Flower[[#This Row],[Flowers Acquired]]</calculatedColumnFormula>
      <totalsRowFormula>SUMIF(G3:G45,"&gt;=0")</totalsRowFormula>
    </tableColumn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824C9A05-3E1A-4D50-ABD2-C5F97FDC037C}" name="Ascension_Stones4447" displayName="Ascension_Stones4447" ref="A3:Z12" totalsRowCount="1" headerRowDxfId="240" dataDxfId="239" totalsRowDxfId="238">
  <autoFilter ref="A3:Z11" xr:uid="{D441BC84-F527-45D1-9D47-971D432180E8}"/>
  <tableColumns count="26">
    <tableColumn id="1" xr3:uid="{3902D201-C449-42C3-857F-E377609DE69D}" name="Sl No." totalsRowLabel="Total" dataDxfId="237" totalsRowDxfId="219">
      <calculatedColumnFormula>SUBTOTAL(3,$B$4:Ascension_Stones4447[[#This Row],[Stone Name]])</calculatedColumnFormula>
    </tableColumn>
    <tableColumn id="2" xr3:uid="{C3CBE243-160B-413B-A802-80780FAD6C08}" name="Stone Name" totalsRowLabel="Total" dataDxfId="236" totalsRowDxfId="218"/>
    <tableColumn id="3" xr3:uid="{6BB3D62E-467F-4679-8576-178131A06DB8}" name="Gemstone" dataDxfId="235" totalsRowDxfId="217">
      <calculatedColumnFormula>IFERROR(INDEX(GemsImg[Icon], MATCH(_xlfn.CONCAT(Ascension_Stones4447[[#This Row],[Stone Name]],"Gemstone"), GemsImg[Name], 0)), "")</calculatedColumnFormula>
    </tableColumn>
    <tableColumn id="7" xr3:uid="{334D510A-828F-4EB8-B787-0B986E29ECB5}" name="Need to Farm" totalsRowFunction="sum" dataDxfId="234" totalsRowDxfId="216">
      <calculatedColumnFormula>SUMIF(Gemstone[Stone Type],Ascension_Stones4447[[#This Row],[Gemstone]],Gemstone[Gemstone])</calculatedColumnFormula>
    </tableColumn>
    <tableColumn id="10" xr3:uid="{21DD6D68-EE03-4E24-B4ED-84DC01701D52}" name="Chunk" dataDxfId="233" totalsRowDxfId="215">
      <calculatedColumnFormula>IFERROR(INDEX(GemsImg[Icon], MATCH(_xlfn.CONCAT(Ascension_Stones4447[[#This Row],[Stone Name]],"Chunk"), GemsImg[Name], 0)), "")</calculatedColumnFormula>
    </tableColumn>
    <tableColumn id="8" xr3:uid="{A421FF2C-B59D-4662-8F50-2C0494F3EC01}" name="Need to Farm2" totalsRowFunction="sum" dataDxfId="232" totalsRowDxfId="214">
      <calculatedColumnFormula>SUMIF(Gemstone[Stone Type],Ascension_Stones4447[[#This Row],[Gemstone]],Gemstone[Chunk])</calculatedColumnFormula>
    </tableColumn>
    <tableColumn id="9" xr3:uid="{AF3F09D6-77A7-4FA4-A88B-13D025A3944D}" name="Fragment" dataDxfId="231" totalsRowDxfId="213">
      <calculatedColumnFormula>IFERROR(INDEX(GemsImg[Icon], MATCH(_xlfn.CONCAT(Ascension_Stones4447[[#This Row],[Stone Name]],"Fragment"), GemsImg[Name], 0)), "")</calculatedColumnFormula>
    </tableColumn>
    <tableColumn id="4" xr3:uid="{6AAE599E-F72A-45FD-88DE-AF3A269A533E}" name="Need to Farm3" totalsRowFunction="sum" dataDxfId="230" totalsRowDxfId="212">
      <calculatedColumnFormula>SUMIF(Gemstone[Stone Type],Ascension_Stones4447[[#This Row],[Gemstone]],Gemstone[Fragment])</calculatedColumnFormula>
    </tableColumn>
    <tableColumn id="5" xr3:uid="{370DE459-91CF-4307-8BFD-3D2A9D53A5DE}" name="Silver" dataDxfId="229" totalsRowDxfId="211">
      <calculatedColumnFormula>IFERROR(INDEX(GemsImg[Icon], MATCH(_xlfn.CONCAT(Ascension_Stones4447[[#This Row],[Stone Name]],"Silver"), GemsImg[Name], 0)), "")</calculatedColumnFormula>
    </tableColumn>
    <tableColumn id="6" xr3:uid="{5824E7E5-CD75-47C2-AA39-760D72C4FD78}" name="Need to Farm4" totalsRowFunction="sum" dataDxfId="228" totalsRowDxfId="210">
      <calculatedColumnFormula>SUMIF(Gemstone[Stone Type],Ascension_Stones4447[[#This Row],[Gemstone]],Gemstone[Silver])</calculatedColumnFormula>
    </tableColumn>
    <tableColumn id="11" xr3:uid="{87CA98AE-C78D-4212-AD9B-1D334FEF8B40}" name="Gemstone2" dataDxfId="227" totalsRowDxfId="209">
      <calculatedColumnFormula>IFERROR(INDEX(GemsImg[Icon], MATCH(_xlfn.CONCAT(Ascension_Stones4447[[#This Row],[Stone Name]],"Gemstone"), GemsImg[Name], 0)), "")</calculatedColumnFormula>
    </tableColumn>
    <tableColumn id="12" xr3:uid="{08BCD655-99AA-4E37-93EB-5F5314445F00}" name="Need to Farm5" totalsRowFunction="sum" dataDxfId="226" totalsRowDxfId="208">
      <calculatedColumnFormula>IFERROR(INDEX(GemsInv[Quantity], MATCH(Ascension_Stones4447[[#This Row],[Gemstone2]], GemsInv[Icon], 0)), "")</calculatedColumnFormula>
    </tableColumn>
    <tableColumn id="13" xr3:uid="{B93F3940-098A-4BE8-956C-3F0D634E146D}" name="Chunk6" dataDxfId="225" totalsRowDxfId="207">
      <calculatedColumnFormula>IFERROR(INDEX(GemsImg[Icon], MATCH(_xlfn.CONCAT(Ascension_Stones4447[[#This Row],[Stone Name]],"Chunk"), GemsImg[Name], 0)), "")</calculatedColumnFormula>
    </tableColumn>
    <tableColumn id="14" xr3:uid="{69B47093-FBC3-4DDC-B350-EC61B7CC7C1B}" name="Need to Farm210" totalsRowFunction="sum" dataDxfId="224" totalsRowDxfId="206">
      <calculatedColumnFormula>IFERROR(INDEX(GemsInv[Quantity], MATCH(Ascension_Stones4447[[#This Row],[Chunk6]], GemsInv[Icon], 0)), "")</calculatedColumnFormula>
    </tableColumn>
    <tableColumn id="15" xr3:uid="{745C286C-3625-4CCF-B34C-9BF69E04DF19}" name="Fragment11" dataDxfId="223" totalsRowDxfId="205">
      <calculatedColumnFormula>IFERROR(INDEX(GemsImg[Icon], MATCH(_xlfn.CONCAT(Ascension_Stones4447[[#This Row],[Stone Name]],"Fragment"), GemsImg[Name], 0)), "")</calculatedColumnFormula>
    </tableColumn>
    <tableColumn id="16" xr3:uid="{8D528068-97D8-45B3-8831-4285E79F1913}" name="Need to Farm312" totalsRowFunction="sum" dataDxfId="222" totalsRowDxfId="204">
      <calculatedColumnFormula>IFERROR(INDEX(GemsInv[Quantity], MATCH(Ascension_Stones4447[[#This Row],[Fragment11]], GemsInv[Icon], 0)), "")</calculatedColumnFormula>
    </tableColumn>
    <tableColumn id="17" xr3:uid="{B315C653-7E1C-47DF-A6C7-410805E941C8}" name="Silver13" dataDxfId="221" totalsRowDxfId="203">
      <calculatedColumnFormula>IFERROR(INDEX(GemsImg[Icon], MATCH(_xlfn.CONCAT(Ascension_Stones4447[[#This Row],[Stone Name]],"Silver"), GemsImg[Name], 0)), "")</calculatedColumnFormula>
    </tableColumn>
    <tableColumn id="18" xr3:uid="{CF8CBB32-E342-4649-A85B-A7F97ECFCC8F}" name="Need to Farm414" totalsRowFunction="sum" dataDxfId="220" totalsRowDxfId="202">
      <calculatedColumnFormula>IFERROR(INDEX(GemsInv[Quantity], MATCH(Ascension_Stones4447[[#This Row],[Silver13]], GemsInv[Icon], 0)), "")</calculatedColumnFormula>
    </tableColumn>
    <tableColumn id="19" xr3:uid="{35075740-F4DF-4148-98AB-015DBF8CCCCE}" name="Gemstone3" dataDxfId="201">
      <calculatedColumnFormula>IFERROR(INDEX(GemsImg[Icon], MATCH(_xlfn.CONCAT(Ascension_Stones4447[[#This Row],[Stone Name]],"Gemstone"), GemsImg[Name], 0)), "")</calculatedColumnFormula>
    </tableColumn>
    <tableColumn id="20" xr3:uid="{94BC09FE-1DC5-47E4-B27D-CC70F618CDBF}" name="Need to Farm6" totalsRowFunction="sum" dataDxfId="200">
      <calculatedColumnFormula>Ascension_Stones4447[[#This Row],[Need to Farm]]-Ascension_Stones4447[[#This Row],[Need to Farm5]]</calculatedColumnFormula>
    </tableColumn>
    <tableColumn id="21" xr3:uid="{3452593B-82E7-4ADB-A728-481A46AE8097}" name="Chunk7" dataDxfId="199">
      <calculatedColumnFormula>IFERROR(INDEX(GemsImg[Icon], MATCH(_xlfn.CONCAT(Ascension_Stones4447[[#This Row],[Stone Name]],"Chunk"), GemsImg[Name], 0)), "")</calculatedColumnFormula>
    </tableColumn>
    <tableColumn id="22" xr3:uid="{8BB02599-A368-4280-B284-72D02CFFF4B2}" name="Need to Farm211" totalsRowFunction="sum" dataDxfId="198">
      <calculatedColumnFormula>Ascension_Stones4447[[#This Row],[Need to Farm2]]-Ascension_Stones4447[[#This Row],[Need to Farm210]]</calculatedColumnFormula>
    </tableColumn>
    <tableColumn id="23" xr3:uid="{5B63FAD4-1A5F-4A61-BA97-A56F7CA9574F}" name="Fragment12" dataDxfId="197">
      <calculatedColumnFormula>IFERROR(INDEX(GemsImg[Icon], MATCH(_xlfn.CONCAT(Ascension_Stones4447[[#This Row],[Stone Name]],"Fragment"), GemsImg[Name], 0)), "")</calculatedColumnFormula>
    </tableColumn>
    <tableColumn id="24" xr3:uid="{FFC6F94E-A0E4-485E-B6F0-D05802DAD84E}" name="Need to Farm313" totalsRowFunction="sum" dataDxfId="196">
      <calculatedColumnFormula>Ascension_Stones4447[[#This Row],[Need to Farm3]]-Ascension_Stones4447[[#This Row],[Need to Farm312]]</calculatedColumnFormula>
    </tableColumn>
    <tableColumn id="25" xr3:uid="{9B7DCCC3-3F02-4420-A62E-5E8E7E883A23}" name="Silver14" dataDxfId="195">
      <calculatedColumnFormula>IFERROR(INDEX(GemsImg[Icon], MATCH(_xlfn.CONCAT(Ascension_Stones4447[[#This Row],[Stone Name]],"Silver"), GemsImg[Name], 0)), "")</calculatedColumnFormula>
    </tableColumn>
    <tableColumn id="26" xr3:uid="{BFA5A695-83F8-4BA2-AB7B-90429981260C}" name="Need to Farm415" totalsRowFunction="sum" dataDxfId="194">
      <calculatedColumnFormula>Ascension_Stones4447[[#This Row],[Need to Farm4]]-Ascension_Stones4447[[#This Row],[Need to Farm414]]</calculatedColumnFormula>
    </tableColumn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27790BAA-D9BD-4F0D-B279-02DEBC4A05B5}" name="Ascension_Mob_Materials43" displayName="Ascension_Mob_Materials43" ref="A3:X17" totalsRowCount="1" headerRowDxfId="148" dataDxfId="146" totalsRowDxfId="147">
  <autoFilter ref="A3:X16" xr:uid="{EF6DC38F-9522-4CC1-A0E2-54BB0746C847}"/>
  <sortState xmlns:xlrd2="http://schemas.microsoft.com/office/spreadsheetml/2017/richdata2" ref="A4:X16">
    <sortCondition ref="F3:F16"/>
  </sortState>
  <tableColumns count="24">
    <tableColumn id="1" xr3:uid="{ECF6DA46-46F5-4E3A-A43B-07A3A012EF2D}" name="Sl No." totalsRowLabel="Total" dataDxfId="127" totalsRowDxfId="121">
      <calculatedColumnFormula>SUBTOTAL(3,$B$4:Ascension_Mob_Materials43[[#This Row],[Link to Interactive Map]])</calculatedColumnFormula>
    </tableColumn>
    <tableColumn id="2" xr3:uid="{D35C18E8-5E75-4BA1-8EDE-2F9C02ABD0EC}" name="Link to Interactive Map" dataDxfId="126" totalsRowDxfId="120"/>
    <tableColumn id="26" xr3:uid="{B8E98898-B5FE-4AAD-99C0-6B87269176EA}" name="HelperName3*" dataDxfId="125" totalsRowDxfId="119" dataCellStyle="Hyperlink"/>
    <tableColumn id="28" xr3:uid="{4493B949-E822-4129-9D44-0FB8BFA7335B}" name="HelperName2*" dataDxfId="124" totalsRowDxfId="118" dataCellStyle="Hyperlink"/>
    <tableColumn id="27" xr3:uid="{F3236BB7-D2E1-4141-8081-B5D53FB7585F}" name="HelperName1*" dataDxfId="123" totalsRowDxfId="117" dataCellStyle="Hyperlink"/>
    <tableColumn id="7" xr3:uid="{93E72A5F-EE10-4F6C-9FA6-0DA944789027}" name="Version Released" dataDxfId="122" totalsRowDxfId="116"/>
    <tableColumn id="3" xr3:uid="{26D624C4-25AE-4F0C-8A85-62CB6CEDF684}" name="3* Mats" dataDxfId="133" totalsRowDxfId="115">
      <calculatedColumnFormula>IFERROR(INDEX(MonsterMaterialsImg[3*Icon], MATCH(Ascension_Mob_Materials43[[#This Row],[HelperName3*]], MonsterMaterialsImg[3*Name], 0)), "")</calculatedColumnFormula>
    </tableColumn>
    <tableColumn id="10" xr3:uid="{34B62BF6-C51C-4934-A9F3-27E600E1EC6A}" name="Need1" totalsRowFunction="sum" dataDxfId="132" totalsRowDxfId="114">
      <calculatedColumnFormula>SUMIF(MonsterMaterials[Material Type],Ascension_Mob_Materials43[[#This Row],[3* Mats]],MonsterMaterials[3* (Asc)])</calculatedColumnFormula>
    </tableColumn>
    <tableColumn id="11" xr3:uid="{247B3290-5F7E-48F1-8B39-3AD2EA423003}" name="2* Mats" dataDxfId="131" totalsRowDxfId="113">
      <calculatedColumnFormula>IFERROR(INDEX(MonsterMaterialsImg[2*Icon], MATCH(Ascension_Mob_Materials43[[#This Row],[HelperName2*]], MonsterMaterialsImg[2*Name], 0)), "")</calculatedColumnFormula>
    </tableColumn>
    <tableColumn id="12" xr3:uid="{4FCC8105-E28D-4955-B455-0AB36879E3E1}" name="Column1" totalsRowFunction="sum" dataDxfId="130" totalsRowDxfId="112">
      <calculatedColumnFormula>SUMIF(MonsterMaterials[Material Type],Ascension_Mob_Materials43[[#This Row],[3* Mats]],MonsterMaterials[2* (Asc)])</calculatedColumnFormula>
    </tableColumn>
    <tableColumn id="13" xr3:uid="{44FE3CAC-EAFF-43D7-807F-B5F18784B53B}" name="1* Mats" dataDxfId="129" totalsRowDxfId="111">
      <calculatedColumnFormula>IFERROR(INDEX(MonsterMaterialsImg[1*Icon], MATCH(Ascension_Mob_Materials43[[#This Row],[HelperName1*]], MonsterMaterialsImg[1*Name], 0)), "")</calculatedColumnFormula>
    </tableColumn>
    <tableColumn id="14" xr3:uid="{E02FB3DE-28C4-4DCE-BBB6-7E051FCBA83F}" name="Need3" totalsRowFunction="sum" dataDxfId="128" totalsRowDxfId="110">
      <calculatedColumnFormula>SUMIF(MonsterMaterials[Material Type],Ascension_Mob_Materials43[[#This Row],[3* Mats]],MonsterMaterials[1* (Asc)])</calculatedColumnFormula>
    </tableColumn>
    <tableColumn id="15" xr3:uid="{59048AB7-D221-446B-B575-D6242B10C5ED}" name="3* Mats2" dataDxfId="139" totalsRowDxfId="109">
      <calculatedColumnFormula>IFERROR(INDEX(MonsterMaterialsImg[3*Icon], MATCH(Ascension_Mob_Materials43[[#This Row],[HelperName3*]], MonsterMaterialsImg[3*Name], 0)), "")</calculatedColumnFormula>
    </tableColumn>
    <tableColumn id="16" xr3:uid="{05210CD1-5062-4C9A-8FAE-9DC948952D62}" name="Acquired1" totalsRowFunction="sum" dataDxfId="138" totalsRowDxfId="108">
      <calculatedColumnFormula>IFERROR(INDEX(MonsterMaterialsInv[3* Quantity], MATCH(Ascension_Mob_Materials43[[#This Row],[3* Mats2]], MonsterMaterialsInv[3* Icon], 0)), "")</calculatedColumnFormula>
    </tableColumn>
    <tableColumn id="17" xr3:uid="{282EFCF7-300B-4F76-A7D7-37BF091FFF7C}" name="2* Mats2" dataDxfId="137" totalsRowDxfId="107">
      <calculatedColumnFormula>IFERROR(INDEX(MonsterMaterialsImg[2*Icon], MATCH(Ascension_Mob_Materials43[[#This Row],[HelperName2*]], MonsterMaterialsImg[2*Name], 0)), "")</calculatedColumnFormula>
    </tableColumn>
    <tableColumn id="18" xr3:uid="{081CE9EC-D967-495B-AA5A-6A0B8331DDC4}" name="Acquired12" totalsRowFunction="sum" dataDxfId="136" totalsRowDxfId="106">
      <calculatedColumnFormula>IFERROR(INDEX(MonsterMaterialsInv[2* Quantity], MATCH(Ascension_Mob_Materials43[[#This Row],[2* Mats2]], MonsterMaterialsInv[2* Icon], 0)), "")</calculatedColumnFormula>
    </tableColumn>
    <tableColumn id="19" xr3:uid="{021B2FE9-D36A-4F7F-B6D4-3CB8DDFCB5D1}" name="1* Mats2" dataDxfId="135" totalsRowDxfId="105">
      <calculatedColumnFormula>IFERROR(INDEX(MonsterMaterialsImg[1*Icon], MATCH(Ascension_Mob_Materials43[[#This Row],[HelperName1*]], MonsterMaterialsImg[1*Name], 0)), "")</calculatedColumnFormula>
    </tableColumn>
    <tableColumn id="5" xr3:uid="{0F0FA735-A443-4BFE-9EAF-A7C072949FBB}" name="Acquired13" totalsRowFunction="sum" dataDxfId="134" totalsRowDxfId="104">
      <calculatedColumnFormula>IFERROR(INDEX(MonsterMaterialsInv[1* Quantity], MATCH(Ascension_Mob_Materials43[[#This Row],[1* Mats2]], MonsterMaterialsInv[1* Icon], 0)), "")</calculatedColumnFormula>
    </tableColumn>
    <tableColumn id="20" xr3:uid="{A8AAB874-3386-486A-9923-31F8872FFD73}" name="3* Mats3" dataDxfId="145" totalsRowDxfId="103">
      <calculatedColumnFormula>IFERROR(INDEX(MonsterMaterialsImg[3*Icon], MATCH(Ascension_Mob_Materials43[[#This Row],[HelperName3*]], MonsterMaterialsImg[3*Name], 0)), "")</calculatedColumnFormula>
    </tableColumn>
    <tableColumn id="21" xr3:uid="{BF864C5F-B0B2-47DA-A216-F938F018A0AA}" name="Remaining1" totalsRowFunction="sum" dataDxfId="144" totalsRowDxfId="102">
      <calculatedColumnFormula>Ascension_Mob_Materials43[[#This Row],[Need1]]-Ascension_Mob_Materials43[[#This Row],[Acquired1]]</calculatedColumnFormula>
    </tableColumn>
    <tableColumn id="22" xr3:uid="{9781FD4C-138D-4DDC-9948-D55692A0D883}" name="2* Mats3" dataDxfId="143" totalsRowDxfId="101">
      <calculatedColumnFormula>IFERROR(INDEX(MonsterMaterialsImg[2*Icon], MATCH(Ascension_Mob_Materials43[[#This Row],[HelperName2*]], MonsterMaterialsImg[2*Name], 0)), "")</calculatedColumnFormula>
    </tableColumn>
    <tableColumn id="23" xr3:uid="{C960716F-02F1-4640-8632-CFA8E0EB39FE}" name="Remaining2" totalsRowFunction="sum" dataDxfId="142" totalsRowDxfId="100">
      <calculatedColumnFormula>Ascension_Mob_Materials43[[#This Row],[Column1]]-Ascension_Mob_Materials43[[#This Row],[Acquired12]]</calculatedColumnFormula>
    </tableColumn>
    <tableColumn id="24" xr3:uid="{7A7041F3-7715-4B56-A6F9-E675A3167458}" name="1* Mats3" dataDxfId="141" totalsRowDxfId="99">
      <calculatedColumnFormula>IFERROR(INDEX(MonsterMaterialsImg[1*Icon], MATCH(Ascension_Mob_Materials43[[#This Row],[HelperName1*]], MonsterMaterialsImg[1*Name], 0)), "")</calculatedColumnFormula>
    </tableColumn>
    <tableColumn id="6" xr3:uid="{97CC42D0-5881-41F5-A3E4-AE9CAAFA6F1F}" name="Remaining3" totalsRowFunction="sum" dataDxfId="140" totalsRowDxfId="98">
      <calculatedColumnFormula>Ascension_Mob_Materials43[[#This Row],[Need3]]-Ascension_Mob_Materials43[[#This Row],[Acquired13]]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  <wetp:taskpane dockstate="right" visibility="0" width="35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49AEE8C3-CE0C-4BD4-B29D-9BBCFF59D6AB}">
  <we:reference id="wa104100404" version="3.0.0.1" store="en-US" storeType="OMEX"/>
  <we:alternateReferences>
    <we:reference id="wa104100404" version="3.0.0.1" store="wa104100404" storeType="OMEX"/>
  </we:alternateReferences>
  <we:properties>
    <we:property name="UniqueID" value="&quot;20242181710707677177&quot;"/>
    <we:property name="NSkwBFV1DR8RNWIlOQxDTC0kKA==" value="&quot;&quot;"/>
    <we:property name="NSkwBFV1DR8RNWIlOQxDTBEpLh5UJxAVDCE=" value="&quot;JRQF&quot;"/>
    <we:property name="NSkwBFV1DR8RNWIlOQxDTC8nOiVYOw==" value="&quot;Uw==&quot;"/>
    <we:property name="NSkwBFV1DR8RNWIlOQxDTBEpLh5UJxAeByE=" value="&quot;Ug==&quot;"/>
  </we:properties>
  <we:bindings>
    <we:binding id="refEdit" type="matrix" appref="{9E65AD8B-7BB3-4A71-85F6-D011FA0D28F3}"/>
    <we:binding id="Worker" type="matrix" appref="{236CC71B-C42B-43C8-92CF-6A62E49BDB20}"/>
  </we:bindings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C2760E4-E0B6-43CD-A72C-CDDEDE7D1D3F}">
  <we:reference id="wa200006180" version="1.0.0.3" store="en-US" storeType="OMEX"/>
  <we:alternateReferences>
    <we:reference id="WA200006180" version="1.0.0.3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6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56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564.emf"/><Relationship Id="rId5" Type="http://schemas.openxmlformats.org/officeDocument/2006/relationships/image" Target="../media/image561.emf"/><Relationship Id="rId15" Type="http://schemas.openxmlformats.org/officeDocument/2006/relationships/image" Target="../media/image56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56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13" Type="http://schemas.openxmlformats.org/officeDocument/2006/relationships/table" Target="../tables/table15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12" Type="http://schemas.openxmlformats.org/officeDocument/2006/relationships/table" Target="../tables/table14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table" Target="../tables/table8.xml"/><Relationship Id="rId11" Type="http://schemas.openxmlformats.org/officeDocument/2006/relationships/table" Target="../tables/table13.xml"/><Relationship Id="rId5" Type="http://schemas.openxmlformats.org/officeDocument/2006/relationships/table" Target="../tables/table7.xml"/><Relationship Id="rId10" Type="http://schemas.openxmlformats.org/officeDocument/2006/relationships/table" Target="../tables/table12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3.xml"/><Relationship Id="rId3" Type="http://schemas.openxmlformats.org/officeDocument/2006/relationships/table" Target="../tables/table18.xml"/><Relationship Id="rId7" Type="http://schemas.openxmlformats.org/officeDocument/2006/relationships/table" Target="../tables/table22.xml"/><Relationship Id="rId2" Type="http://schemas.openxmlformats.org/officeDocument/2006/relationships/table" Target="../tables/table17.xml"/><Relationship Id="rId1" Type="http://schemas.openxmlformats.org/officeDocument/2006/relationships/table" Target="../tables/table16.xml"/><Relationship Id="rId6" Type="http://schemas.openxmlformats.org/officeDocument/2006/relationships/table" Target="../tables/table21.xml"/><Relationship Id="rId5" Type="http://schemas.openxmlformats.org/officeDocument/2006/relationships/table" Target="../tables/table20.xml"/><Relationship Id="rId4" Type="http://schemas.openxmlformats.org/officeDocument/2006/relationships/table" Target="../tables/table1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1.xml"/><Relationship Id="rId3" Type="http://schemas.openxmlformats.org/officeDocument/2006/relationships/table" Target="../tables/table26.xml"/><Relationship Id="rId7" Type="http://schemas.openxmlformats.org/officeDocument/2006/relationships/table" Target="../tables/table30.xml"/><Relationship Id="rId2" Type="http://schemas.openxmlformats.org/officeDocument/2006/relationships/table" Target="../tables/table25.xml"/><Relationship Id="rId1" Type="http://schemas.openxmlformats.org/officeDocument/2006/relationships/table" Target="../tables/table24.xml"/><Relationship Id="rId6" Type="http://schemas.openxmlformats.org/officeDocument/2006/relationships/table" Target="../tables/table29.xml"/><Relationship Id="rId5" Type="http://schemas.openxmlformats.org/officeDocument/2006/relationships/table" Target="../tables/table28.xml"/><Relationship Id="rId10" Type="http://schemas.openxmlformats.org/officeDocument/2006/relationships/table" Target="../tables/table33.xml"/><Relationship Id="rId4" Type="http://schemas.openxmlformats.org/officeDocument/2006/relationships/table" Target="../tables/table27.xml"/><Relationship Id="rId9" Type="http://schemas.openxmlformats.org/officeDocument/2006/relationships/table" Target="../tables/table3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4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36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8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6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9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1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4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42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7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6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0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9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41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6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1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4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2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7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40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5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5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3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8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6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0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9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1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44" Type="http://schemas.openxmlformats.org/officeDocument/2006/relationships/table" Target="../tables/table37.xml"/><Relationship Id="rId4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9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4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2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7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0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5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43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8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2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7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5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3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8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8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3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7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2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6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1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5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0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4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9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4" Type="http://schemas.openxmlformats.org/officeDocument/2006/relationships/table" Target="../tables/table3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E7983-3B41-420D-A8D6-A665F4D74192}">
  <sheetPr codeName="Sheet1">
    <tabColor rgb="FFFF0000"/>
  </sheetPr>
  <dimension ref="A1:L29"/>
  <sheetViews>
    <sheetView workbookViewId="0">
      <selection activeCell="E26" sqref="E26"/>
    </sheetView>
    <sheetView workbookViewId="1"/>
  </sheetViews>
  <sheetFormatPr defaultRowHeight="15" x14ac:dyDescent="0.25"/>
  <cols>
    <col min="1" max="2" width="25" style="1" customWidth="1"/>
    <col min="3" max="3" width="2.28515625" style="1" customWidth="1"/>
    <col min="4" max="5" width="25" style="1" customWidth="1"/>
    <col min="6" max="6" width="2.28515625" style="1" customWidth="1"/>
    <col min="7" max="8" width="25" style="1" customWidth="1"/>
    <col min="9" max="9" width="2.28515625" style="1" customWidth="1"/>
    <col min="10" max="10" width="9.140625" style="1"/>
    <col min="11" max="11" width="22.7109375" style="1" bestFit="1" customWidth="1"/>
    <col min="12" max="12" width="19.85546875" style="1" bestFit="1" customWidth="1"/>
    <col min="13" max="13" width="2.28515625" style="1" customWidth="1"/>
    <col min="14" max="16384" width="9.140625" style="1"/>
  </cols>
  <sheetData>
    <row r="1" spans="1:11" ht="15.75" thickBot="1" x14ac:dyDescent="0.3"/>
    <row r="2" spans="1:11" x14ac:dyDescent="0.25">
      <c r="A2" s="119" t="s">
        <v>0</v>
      </c>
      <c r="B2" s="120" t="s">
        <v>1</v>
      </c>
      <c r="D2" s="119" t="s">
        <v>2</v>
      </c>
      <c r="E2" s="120" t="s">
        <v>3</v>
      </c>
      <c r="G2" s="119" t="s">
        <v>4</v>
      </c>
      <c r="H2" s="120" t="s">
        <v>5</v>
      </c>
      <c r="J2" s="185" t="s">
        <v>6</v>
      </c>
      <c r="K2" s="185"/>
    </row>
    <row r="3" spans="1:11" x14ac:dyDescent="0.25">
      <c r="A3" s="121" t="s">
        <v>7</v>
      </c>
      <c r="B3" s="122">
        <v>5</v>
      </c>
      <c r="D3" s="121" t="s">
        <v>8</v>
      </c>
      <c r="E3" s="123" t="s">
        <v>9</v>
      </c>
      <c r="G3" s="121" t="s">
        <v>10</v>
      </c>
      <c r="H3" s="123" t="s">
        <v>11</v>
      </c>
      <c r="J3" s="185"/>
      <c r="K3" s="185"/>
    </row>
    <row r="4" spans="1:11" x14ac:dyDescent="0.25">
      <c r="A4" s="124"/>
      <c r="B4" s="125"/>
      <c r="D4" s="121" t="s">
        <v>12</v>
      </c>
      <c r="E4" s="123" t="s">
        <v>13</v>
      </c>
      <c r="G4" s="121" t="s">
        <v>14</v>
      </c>
      <c r="H4" s="123" t="s">
        <v>15</v>
      </c>
      <c r="J4" s="185"/>
      <c r="K4" s="185"/>
    </row>
    <row r="5" spans="1:11" x14ac:dyDescent="0.25">
      <c r="A5" s="124"/>
      <c r="B5" s="125"/>
      <c r="D5" s="121" t="s">
        <v>16</v>
      </c>
      <c r="E5" s="123" t="s">
        <v>17</v>
      </c>
      <c r="G5" s="121" t="s">
        <v>18</v>
      </c>
      <c r="H5" s="123" t="s">
        <v>19</v>
      </c>
      <c r="J5" s="185"/>
      <c r="K5" s="185"/>
    </row>
    <row r="6" spans="1:11" x14ac:dyDescent="0.25">
      <c r="A6" s="124"/>
      <c r="B6" s="125"/>
      <c r="D6" s="121" t="s">
        <v>7</v>
      </c>
      <c r="E6" s="122">
        <v>5</v>
      </c>
      <c r="G6" s="121" t="s">
        <v>7</v>
      </c>
      <c r="H6" s="122">
        <v>5</v>
      </c>
    </row>
    <row r="7" spans="1:11" x14ac:dyDescent="0.25">
      <c r="A7" s="124"/>
      <c r="B7" s="125"/>
      <c r="D7" s="124"/>
      <c r="E7" s="125"/>
      <c r="G7" s="124"/>
      <c r="H7" s="125"/>
    </row>
    <row r="8" spans="1:11" x14ac:dyDescent="0.25">
      <c r="A8" s="124"/>
      <c r="B8" s="125"/>
      <c r="D8" s="124"/>
      <c r="E8" s="125"/>
      <c r="G8" s="124"/>
      <c r="H8" s="125"/>
    </row>
    <row r="9" spans="1:11" x14ac:dyDescent="0.25">
      <c r="A9" s="124"/>
      <c r="B9" s="125"/>
      <c r="D9" s="124"/>
      <c r="E9" s="125"/>
      <c r="G9" s="124"/>
      <c r="H9" s="125"/>
    </row>
    <row r="10" spans="1:11" x14ac:dyDescent="0.25">
      <c r="A10" s="124"/>
      <c r="B10" s="125"/>
      <c r="D10" s="124"/>
      <c r="E10" s="125"/>
      <c r="G10" s="124"/>
      <c r="H10" s="125"/>
    </row>
    <row r="11" spans="1:11" ht="15.75" thickBot="1" x14ac:dyDescent="0.3">
      <c r="A11" s="126"/>
      <c r="B11" s="127"/>
      <c r="D11" s="126"/>
      <c r="E11" s="127"/>
      <c r="G11" s="126"/>
      <c r="H11" s="127"/>
    </row>
    <row r="14" spans="1:11" ht="15.75" thickBot="1" x14ac:dyDescent="0.3"/>
    <row r="15" spans="1:11" ht="30" customHeight="1" x14ac:dyDescent="0.25">
      <c r="A15" s="119" t="s">
        <v>20</v>
      </c>
      <c r="B15" s="120" t="s">
        <v>21</v>
      </c>
      <c r="D15" s="119" t="s">
        <v>22</v>
      </c>
      <c r="E15" s="120" t="s">
        <v>23</v>
      </c>
      <c r="G15" s="119" t="s">
        <v>24</v>
      </c>
      <c r="H15" s="128" t="s">
        <v>25</v>
      </c>
      <c r="J15" s="129" t="s">
        <v>26</v>
      </c>
    </row>
    <row r="16" spans="1:11" ht="30" customHeight="1" x14ac:dyDescent="0.25">
      <c r="A16" s="130"/>
      <c r="B16" s="131"/>
      <c r="D16" s="121" t="s">
        <v>27</v>
      </c>
      <c r="E16" s="123" t="s">
        <v>28</v>
      </c>
      <c r="G16" s="121" t="s">
        <v>29</v>
      </c>
      <c r="H16" s="123" t="e" vm="1">
        <v>#VALUE!</v>
      </c>
      <c r="J16" s="129" t="s">
        <v>30</v>
      </c>
    </row>
    <row r="17" spans="1:12" ht="30" customHeight="1" x14ac:dyDescent="0.25">
      <c r="A17" s="124"/>
      <c r="B17" s="125"/>
      <c r="D17" s="121" t="s">
        <v>31</v>
      </c>
      <c r="E17" s="123" t="s">
        <v>23</v>
      </c>
      <c r="G17" s="121" t="s">
        <v>7</v>
      </c>
      <c r="H17" s="122">
        <v>4.8</v>
      </c>
      <c r="J17" s="129" t="s">
        <v>32</v>
      </c>
    </row>
    <row r="18" spans="1:12" ht="30" customHeight="1" x14ac:dyDescent="0.25">
      <c r="A18" s="124"/>
      <c r="B18" s="125"/>
      <c r="D18" s="121" t="s">
        <v>33</v>
      </c>
      <c r="E18" s="123" t="s">
        <v>34</v>
      </c>
      <c r="G18" s="121" t="s">
        <v>0</v>
      </c>
      <c r="H18" s="123" t="s">
        <v>35</v>
      </c>
      <c r="J18" s="129" t="s">
        <v>30</v>
      </c>
    </row>
    <row r="19" spans="1:12" ht="30" customHeight="1" x14ac:dyDescent="0.25">
      <c r="A19" s="124"/>
      <c r="B19" s="125"/>
      <c r="D19" s="121" t="s">
        <v>7</v>
      </c>
      <c r="E19" s="122">
        <v>5</v>
      </c>
      <c r="G19" s="121" t="s">
        <v>36</v>
      </c>
      <c r="H19" s="123" t="s">
        <v>37</v>
      </c>
      <c r="J19" s="129" t="s">
        <v>30</v>
      </c>
    </row>
    <row r="20" spans="1:12" ht="30" customHeight="1" x14ac:dyDescent="0.25">
      <c r="A20" s="124"/>
      <c r="B20" s="125"/>
      <c r="D20" s="124"/>
      <c r="E20" s="125"/>
      <c r="G20" s="121" t="s">
        <v>4</v>
      </c>
      <c r="H20" s="123" t="s">
        <v>38</v>
      </c>
      <c r="J20" s="129" t="s">
        <v>30</v>
      </c>
    </row>
    <row r="21" spans="1:12" ht="30" customHeight="1" x14ac:dyDescent="0.25">
      <c r="A21" s="124"/>
      <c r="B21" s="125"/>
      <c r="D21" s="124"/>
      <c r="E21" s="125"/>
      <c r="G21" s="121" t="s">
        <v>39</v>
      </c>
      <c r="H21" s="123" t="s">
        <v>40</v>
      </c>
      <c r="J21" s="129" t="s">
        <v>30</v>
      </c>
    </row>
    <row r="22" spans="1:12" ht="30" customHeight="1" x14ac:dyDescent="0.25">
      <c r="A22" s="124"/>
      <c r="B22" s="125"/>
      <c r="D22" s="124"/>
      <c r="E22" s="125"/>
      <c r="G22" s="121" t="s">
        <v>20</v>
      </c>
      <c r="H22" s="123" t="s">
        <v>41</v>
      </c>
      <c r="J22" s="129" t="s">
        <v>30</v>
      </c>
    </row>
    <row r="23" spans="1:12" ht="30" customHeight="1" x14ac:dyDescent="0.25">
      <c r="A23" s="124"/>
      <c r="B23" s="125"/>
      <c r="D23" s="124"/>
      <c r="E23" s="125"/>
      <c r="G23" s="121" t="s">
        <v>42</v>
      </c>
      <c r="H23" s="123" t="e" vm="2">
        <f>IF(H16="Anemo","Vayuda Turquoise (Anemo)",IF(H16="Geo","Prithiva Topaz (Geo)",IF(H16="Electro","Vajrada Amethyst (Electro)",IF(H16="Dendro","Nagadus Emerald (Dendro)",IF(H16="Hydro","Varunada Lazurite (Hydro)",IF(H16="Pyro","Agnidus Agate (Pyro)",IF(H16="Cryo","Shivada Jade (Cryo)","")))))))</f>
        <v>#VALUE!</v>
      </c>
      <c r="J23" s="129" t="s">
        <v>43</v>
      </c>
    </row>
    <row r="24" spans="1:12" ht="30" customHeight="1" thickBot="1" x14ac:dyDescent="0.3">
      <c r="A24" s="126"/>
      <c r="B24" s="127"/>
      <c r="D24" s="126"/>
      <c r="E24" s="127"/>
      <c r="G24" s="132" t="s">
        <v>22</v>
      </c>
      <c r="H24" s="133" t="s">
        <v>44</v>
      </c>
      <c r="J24" s="129" t="s">
        <v>30</v>
      </c>
    </row>
    <row r="26" spans="1:12" x14ac:dyDescent="0.25">
      <c r="J26" s="129" t="s">
        <v>45</v>
      </c>
    </row>
    <row r="27" spans="1:12" x14ac:dyDescent="0.25">
      <c r="J27" s="129" t="s">
        <v>46</v>
      </c>
    </row>
    <row r="28" spans="1:12" x14ac:dyDescent="0.25">
      <c r="J28" s="129" t="s">
        <v>47</v>
      </c>
    </row>
    <row r="29" spans="1:12" x14ac:dyDescent="0.25">
      <c r="J29" s="129" t="s">
        <v>48</v>
      </c>
      <c r="L29" s="134"/>
    </row>
  </sheetData>
  <mergeCells count="1">
    <mergeCell ref="J2:K5"/>
  </mergeCells>
  <dataValidations count="2">
    <dataValidation type="list" allowBlank="1" showInputMessage="1" showErrorMessage="1" sqref="H18" xr:uid="{52A2168F-B676-42DF-B1E9-1B2060767213}">
      <formula1>INDIRECT("World_Boss[World Boss]")</formula1>
    </dataValidation>
    <dataValidation type="list" allowBlank="1" showInputMessage="1" showErrorMessage="1" sqref="H20 H24" xr:uid="{9B79BBDA-3691-4808-B900-1277549F7212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0" r:id="rId4" name="SummeryTable">
          <controlPr defaultSize="0" autoFill="0" autoLine="0" r:id="rId5">
            <anchor moveWithCells="1">
              <from>
                <xdr:col>6</xdr:col>
                <xdr:colOff>666750</xdr:colOff>
                <xdr:row>24</xdr:row>
                <xdr:rowOff>66675</xdr:rowOff>
              </from>
              <to>
                <xdr:col>7</xdr:col>
                <xdr:colOff>1009650</xdr:colOff>
                <xdr:row>26</xdr:row>
                <xdr:rowOff>38100</xdr:rowOff>
              </to>
            </anchor>
          </controlPr>
        </control>
      </mc:Choice>
      <mc:Fallback>
        <control shapeId="3080" r:id="rId4" name="SummeryTable"/>
      </mc:Fallback>
    </mc:AlternateContent>
    <mc:AlternateContent xmlns:mc="http://schemas.openxmlformats.org/markup-compatibility/2006">
      <mc:Choice Requires="x14">
        <control shapeId="3090" r:id="rId6" name="AscensionMob">
          <controlPr defaultSize="0" autoFill="0" autoLine="0" r:id="rId7">
            <anchor moveWithCells="1">
              <from>
                <xdr:col>3</xdr:col>
                <xdr:colOff>666750</xdr:colOff>
                <xdr:row>24</xdr:row>
                <xdr:rowOff>66675</xdr:rowOff>
              </from>
              <to>
                <xdr:col>4</xdr:col>
                <xdr:colOff>1009650</xdr:colOff>
                <xdr:row>26</xdr:row>
                <xdr:rowOff>38100</xdr:rowOff>
              </to>
            </anchor>
          </controlPr>
        </control>
      </mc:Choice>
      <mc:Fallback>
        <control shapeId="3090" r:id="rId6" name="AscensionMob"/>
      </mc:Fallback>
    </mc:AlternateContent>
    <mc:AlternateContent xmlns:mc="http://schemas.openxmlformats.org/markup-compatibility/2006">
      <mc:Choice Requires="x14">
        <control shapeId="3091" r:id="rId8" name="AscensionFlower">
          <controlPr defaultSize="0" autoFill="0" autoLine="0" r:id="rId9">
            <anchor moveWithCells="1">
              <from>
                <xdr:col>0</xdr:col>
                <xdr:colOff>666750</xdr:colOff>
                <xdr:row>24</xdr:row>
                <xdr:rowOff>66675</xdr:rowOff>
              </from>
              <to>
                <xdr:col>1</xdr:col>
                <xdr:colOff>1009650</xdr:colOff>
                <xdr:row>26</xdr:row>
                <xdr:rowOff>38100</xdr:rowOff>
              </to>
            </anchor>
          </controlPr>
        </control>
      </mc:Choice>
      <mc:Fallback>
        <control shapeId="3091" r:id="rId8" name="AscensionFlower"/>
      </mc:Fallback>
    </mc:AlternateContent>
    <mc:AlternateContent xmlns:mc="http://schemas.openxmlformats.org/markup-compatibility/2006">
      <mc:Choice Requires="x14">
        <control shapeId="3102" r:id="rId10" name="WeeklyBoss">
          <controlPr defaultSize="0" autoFill="0" autoLine="0" r:id="rId11">
            <anchor moveWithCells="1">
              <from>
                <xdr:col>6</xdr:col>
                <xdr:colOff>666750</xdr:colOff>
                <xdr:row>11</xdr:row>
                <xdr:rowOff>47625</xdr:rowOff>
              </from>
              <to>
                <xdr:col>7</xdr:col>
                <xdr:colOff>1019175</xdr:colOff>
                <xdr:row>13</xdr:row>
                <xdr:rowOff>19050</xdr:rowOff>
              </to>
            </anchor>
          </controlPr>
        </control>
      </mc:Choice>
      <mc:Fallback>
        <control shapeId="3102" r:id="rId10" name="WeeklyBoss"/>
      </mc:Fallback>
    </mc:AlternateContent>
    <mc:AlternateContent xmlns:mc="http://schemas.openxmlformats.org/markup-compatibility/2006">
      <mc:Choice Requires="x14">
        <control shapeId="3103" r:id="rId12" name="TalentBook">
          <controlPr defaultSize="0" autoFill="0" autoLine="0" r:id="rId13">
            <anchor moveWithCells="1">
              <from>
                <xdr:col>3</xdr:col>
                <xdr:colOff>666750</xdr:colOff>
                <xdr:row>11</xdr:row>
                <xdr:rowOff>47625</xdr:rowOff>
              </from>
              <to>
                <xdr:col>4</xdr:col>
                <xdr:colOff>1009650</xdr:colOff>
                <xdr:row>13</xdr:row>
                <xdr:rowOff>19050</xdr:rowOff>
              </to>
            </anchor>
          </controlPr>
        </control>
      </mc:Choice>
      <mc:Fallback>
        <control shapeId="3103" r:id="rId12" name="TalentBook"/>
      </mc:Fallback>
    </mc:AlternateContent>
    <mc:AlternateContent xmlns:mc="http://schemas.openxmlformats.org/markup-compatibility/2006">
      <mc:Choice Requires="x14">
        <control shapeId="3104" r:id="rId14" name="WorldBoss">
          <controlPr defaultSize="0" autoFill="0" autoLine="0" r:id="rId15">
            <anchor moveWithCells="1">
              <from>
                <xdr:col>0</xdr:col>
                <xdr:colOff>666750</xdr:colOff>
                <xdr:row>11</xdr:row>
                <xdr:rowOff>47625</xdr:rowOff>
              </from>
              <to>
                <xdr:col>1</xdr:col>
                <xdr:colOff>981075</xdr:colOff>
                <xdr:row>13</xdr:row>
                <xdr:rowOff>9525</xdr:rowOff>
              </to>
            </anchor>
          </controlPr>
        </control>
      </mc:Choice>
      <mc:Fallback>
        <control shapeId="3104" r:id="rId14" name="WorldBoss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113BE93-6908-4BE6-A744-76162D94AEFC}">
          <x14:formula1>
            <xm:f>ImgDatabase!$AU$3:$AU$9</xm:f>
          </x14:formula1>
          <xm:sqref>H16</xm:sqref>
        </x14:dataValidation>
        <x14:dataValidation type="list" allowBlank="1" showInputMessage="1" showErrorMessage="1" xr:uid="{65243138-E743-4B96-845A-A93C44F96748}">
          <x14:formula1>
            <xm:f>'Talent Books'!$C4:$C18</xm:f>
          </x14:formula1>
          <xm:sqref>H19</xm:sqref>
        </x14:dataValidation>
        <x14:dataValidation type="list" allowBlank="1" showInputMessage="1" showErrorMessage="1" xr:uid="{5AD1D6E0-97F2-4FF3-B71C-5FA3C7F990A1}">
          <x14:formula1>
            <xm:f>'Weekly Boss'!$D3:$D32</xm:f>
          </x14:formula1>
          <xm:sqref>H21</xm:sqref>
        </x14:dataValidation>
        <x14:dataValidation type="list" allowBlank="1" showInputMessage="1" showErrorMessage="1" xr:uid="{5A75AB17-40C9-406D-AC03-954B470DCF08}">
          <x14:formula1>
            <xm:f>'Local Specialties'!$D3:$D4645</xm:f>
          </x14:formula1>
          <xm:sqref>H22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76715-A40E-4697-B223-D57951D93175}">
  <sheetPr codeName="Sheet8"/>
  <dimension ref="A1:W91"/>
  <sheetViews>
    <sheetView workbookViewId="0">
      <selection activeCell="H28" sqref="A24:H28"/>
    </sheetView>
    <sheetView workbookViewId="1"/>
  </sheetViews>
  <sheetFormatPr defaultRowHeight="15" x14ac:dyDescent="0.25"/>
  <cols>
    <col min="2" max="2" width="9.140625" customWidth="1"/>
    <col min="3" max="14" width="12.5703125" customWidth="1"/>
    <col min="15" max="15" width="13.85546875" customWidth="1"/>
    <col min="17" max="19" width="10.85546875" customWidth="1"/>
  </cols>
  <sheetData>
    <row r="1" spans="1:23" x14ac:dyDescent="0.25">
      <c r="A1" t="s">
        <v>49</v>
      </c>
      <c r="B1" t="s">
        <v>50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  <c r="J1" t="s">
        <v>58</v>
      </c>
      <c r="K1" t="s">
        <v>59</v>
      </c>
      <c r="L1" t="s">
        <v>60</v>
      </c>
      <c r="N1" t="s">
        <v>61</v>
      </c>
      <c r="O1" t="s">
        <v>50</v>
      </c>
      <c r="P1" t="s">
        <v>62</v>
      </c>
      <c r="Q1" t="s">
        <v>63</v>
      </c>
      <c r="R1" t="s">
        <v>64</v>
      </c>
      <c r="S1" t="s">
        <v>57</v>
      </c>
      <c r="T1" t="s">
        <v>58</v>
      </c>
      <c r="U1" t="s">
        <v>59</v>
      </c>
      <c r="V1" t="s">
        <v>39</v>
      </c>
      <c r="W1" t="s">
        <v>65</v>
      </c>
    </row>
    <row r="2" spans="1:23" x14ac:dyDescent="0.25">
      <c r="A2">
        <v>1</v>
      </c>
      <c r="B2">
        <v>2092530</v>
      </c>
      <c r="C2">
        <v>419</v>
      </c>
      <c r="D2">
        <v>168</v>
      </c>
      <c r="E2">
        <v>1</v>
      </c>
      <c r="F2">
        <v>9</v>
      </c>
      <c r="G2">
        <v>9</v>
      </c>
      <c r="H2">
        <v>6</v>
      </c>
      <c r="I2">
        <v>18</v>
      </c>
      <c r="J2">
        <v>30</v>
      </c>
      <c r="K2">
        <v>36</v>
      </c>
      <c r="L2">
        <v>46</v>
      </c>
      <c r="N2">
        <v>1</v>
      </c>
      <c r="O2">
        <v>1652500</v>
      </c>
      <c r="P2">
        <v>3</v>
      </c>
      <c r="Q2">
        <v>21</v>
      </c>
      <c r="R2">
        <v>38</v>
      </c>
      <c r="S2">
        <v>6</v>
      </c>
      <c r="T2">
        <v>22</v>
      </c>
      <c r="U2">
        <v>31</v>
      </c>
      <c r="V2">
        <v>6</v>
      </c>
      <c r="W2">
        <v>1</v>
      </c>
    </row>
    <row r="3" spans="1:23" x14ac:dyDescent="0.25">
      <c r="A3">
        <v>2</v>
      </c>
      <c r="B3">
        <v>2092330</v>
      </c>
      <c r="C3">
        <v>419</v>
      </c>
      <c r="D3">
        <v>168</v>
      </c>
      <c r="E3">
        <v>1</v>
      </c>
      <c r="F3">
        <v>9</v>
      </c>
      <c r="G3">
        <v>9</v>
      </c>
      <c r="H3">
        <v>6</v>
      </c>
      <c r="I3">
        <v>18</v>
      </c>
      <c r="J3">
        <v>30</v>
      </c>
      <c r="K3">
        <v>36</v>
      </c>
      <c r="L3">
        <v>46</v>
      </c>
      <c r="N3">
        <v>2</v>
      </c>
      <c r="O3">
        <v>1640000</v>
      </c>
      <c r="P3">
        <v>0</v>
      </c>
      <c r="Q3">
        <v>21</v>
      </c>
      <c r="R3">
        <v>38</v>
      </c>
      <c r="S3">
        <v>0</v>
      </c>
      <c r="T3">
        <v>22</v>
      </c>
      <c r="U3">
        <v>31</v>
      </c>
      <c r="V3">
        <v>6</v>
      </c>
      <c r="W3">
        <v>1</v>
      </c>
    </row>
    <row r="4" spans="1:23" x14ac:dyDescent="0.25">
      <c r="A4">
        <v>3</v>
      </c>
      <c r="B4">
        <v>2092065</v>
      </c>
      <c r="C4">
        <v>419</v>
      </c>
      <c r="D4">
        <v>168</v>
      </c>
      <c r="E4">
        <v>1</v>
      </c>
      <c r="F4">
        <v>9</v>
      </c>
      <c r="G4">
        <v>9</v>
      </c>
      <c r="H4">
        <v>6</v>
      </c>
      <c r="I4">
        <v>18</v>
      </c>
      <c r="J4">
        <v>30</v>
      </c>
      <c r="K4">
        <v>36</v>
      </c>
      <c r="L4">
        <v>46</v>
      </c>
      <c r="N4">
        <v>3</v>
      </c>
      <c r="O4">
        <v>1622500</v>
      </c>
      <c r="P4">
        <v>0</v>
      </c>
      <c r="Q4">
        <v>19</v>
      </c>
      <c r="R4">
        <v>38</v>
      </c>
      <c r="S4">
        <v>0</v>
      </c>
      <c r="T4">
        <v>19</v>
      </c>
      <c r="U4">
        <v>31</v>
      </c>
      <c r="V4">
        <v>6</v>
      </c>
      <c r="W4">
        <v>1</v>
      </c>
    </row>
    <row r="5" spans="1:23" x14ac:dyDescent="0.25">
      <c r="A5">
        <v>4</v>
      </c>
      <c r="B5">
        <v>2091725</v>
      </c>
      <c r="C5">
        <v>418</v>
      </c>
      <c r="D5">
        <v>168</v>
      </c>
      <c r="E5">
        <v>1</v>
      </c>
      <c r="F5">
        <v>9</v>
      </c>
      <c r="G5">
        <v>9</v>
      </c>
      <c r="H5">
        <v>6</v>
      </c>
      <c r="I5">
        <v>18</v>
      </c>
      <c r="J5">
        <v>30</v>
      </c>
      <c r="K5">
        <v>36</v>
      </c>
      <c r="L5">
        <v>46</v>
      </c>
      <c r="N5">
        <v>4</v>
      </c>
      <c r="O5">
        <v>1597500</v>
      </c>
      <c r="P5">
        <v>0</v>
      </c>
      <c r="Q5">
        <v>15</v>
      </c>
      <c r="R5">
        <v>38</v>
      </c>
      <c r="S5">
        <v>0</v>
      </c>
      <c r="T5">
        <v>15</v>
      </c>
      <c r="U5">
        <v>31</v>
      </c>
      <c r="V5">
        <v>6</v>
      </c>
      <c r="W5">
        <v>1</v>
      </c>
    </row>
    <row r="6" spans="1:23" x14ac:dyDescent="0.25">
      <c r="A6">
        <v>5</v>
      </c>
      <c r="B6">
        <v>2091295</v>
      </c>
      <c r="C6">
        <v>418</v>
      </c>
      <c r="D6">
        <v>168</v>
      </c>
      <c r="E6">
        <v>1</v>
      </c>
      <c r="F6">
        <v>9</v>
      </c>
      <c r="G6">
        <v>9</v>
      </c>
      <c r="H6">
        <v>6</v>
      </c>
      <c r="I6">
        <v>18</v>
      </c>
      <c r="J6">
        <v>30</v>
      </c>
      <c r="K6">
        <v>36</v>
      </c>
      <c r="L6">
        <v>46</v>
      </c>
      <c r="N6">
        <v>5</v>
      </c>
      <c r="O6">
        <v>1567500</v>
      </c>
      <c r="P6">
        <v>0</v>
      </c>
      <c r="Q6">
        <v>9</v>
      </c>
      <c r="R6">
        <v>38</v>
      </c>
      <c r="S6">
        <v>0</v>
      </c>
      <c r="T6">
        <v>9</v>
      </c>
      <c r="U6">
        <v>31</v>
      </c>
      <c r="V6">
        <v>6</v>
      </c>
      <c r="W6">
        <v>1</v>
      </c>
    </row>
    <row r="7" spans="1:23" x14ac:dyDescent="0.25">
      <c r="A7">
        <v>6</v>
      </c>
      <c r="B7">
        <v>2090770</v>
      </c>
      <c r="C7">
        <v>418</v>
      </c>
      <c r="D7">
        <v>168</v>
      </c>
      <c r="E7">
        <v>1</v>
      </c>
      <c r="F7">
        <v>9</v>
      </c>
      <c r="G7">
        <v>9</v>
      </c>
      <c r="H7">
        <v>6</v>
      </c>
      <c r="I7">
        <v>18</v>
      </c>
      <c r="J7">
        <v>30</v>
      </c>
      <c r="K7">
        <v>36</v>
      </c>
      <c r="L7">
        <v>46</v>
      </c>
      <c r="N7">
        <v>6</v>
      </c>
      <c r="O7">
        <v>1530000</v>
      </c>
      <c r="P7">
        <v>0</v>
      </c>
      <c r="Q7">
        <v>0</v>
      </c>
      <c r="R7">
        <v>38</v>
      </c>
      <c r="S7">
        <v>0</v>
      </c>
      <c r="T7">
        <v>0</v>
      </c>
      <c r="U7">
        <v>31</v>
      </c>
      <c r="V7">
        <v>6</v>
      </c>
      <c r="W7">
        <v>1</v>
      </c>
    </row>
    <row r="8" spans="1:23" x14ac:dyDescent="0.25">
      <c r="A8">
        <v>7</v>
      </c>
      <c r="B8">
        <v>2090140</v>
      </c>
      <c r="C8">
        <v>418</v>
      </c>
      <c r="D8">
        <v>168</v>
      </c>
      <c r="E8">
        <v>1</v>
      </c>
      <c r="F8">
        <v>9</v>
      </c>
      <c r="G8">
        <v>9</v>
      </c>
      <c r="H8">
        <v>6</v>
      </c>
      <c r="I8">
        <v>18</v>
      </c>
      <c r="J8">
        <v>30</v>
      </c>
      <c r="K8">
        <v>36</v>
      </c>
      <c r="L8">
        <v>46</v>
      </c>
      <c r="N8">
        <v>7</v>
      </c>
      <c r="O8">
        <v>1410000</v>
      </c>
      <c r="P8">
        <v>0</v>
      </c>
      <c r="Q8">
        <v>0</v>
      </c>
      <c r="R8">
        <v>34</v>
      </c>
      <c r="S8">
        <v>0</v>
      </c>
      <c r="T8">
        <v>0</v>
      </c>
      <c r="U8">
        <v>27</v>
      </c>
      <c r="V8">
        <v>5</v>
      </c>
      <c r="W8">
        <v>1</v>
      </c>
    </row>
    <row r="9" spans="1:23" x14ac:dyDescent="0.25">
      <c r="A9">
        <v>8</v>
      </c>
      <c r="B9">
        <v>2089395</v>
      </c>
      <c r="C9">
        <v>418</v>
      </c>
      <c r="D9">
        <v>168</v>
      </c>
      <c r="E9">
        <v>1</v>
      </c>
      <c r="F9">
        <v>9</v>
      </c>
      <c r="G9">
        <v>9</v>
      </c>
      <c r="H9">
        <v>6</v>
      </c>
      <c r="I9">
        <v>18</v>
      </c>
      <c r="J9">
        <v>30</v>
      </c>
      <c r="K9">
        <v>36</v>
      </c>
      <c r="L9">
        <v>46</v>
      </c>
      <c r="N9">
        <v>8</v>
      </c>
      <c r="O9">
        <v>1150000</v>
      </c>
      <c r="P9">
        <v>0</v>
      </c>
      <c r="Q9">
        <v>0</v>
      </c>
      <c r="R9">
        <v>28</v>
      </c>
      <c r="S9">
        <v>0</v>
      </c>
      <c r="T9">
        <v>0</v>
      </c>
      <c r="U9">
        <v>21</v>
      </c>
      <c r="V9">
        <v>4</v>
      </c>
      <c r="W9">
        <v>1</v>
      </c>
    </row>
    <row r="10" spans="1:23" x14ac:dyDescent="0.25">
      <c r="A10">
        <v>9</v>
      </c>
      <c r="B10">
        <v>2088525</v>
      </c>
      <c r="C10">
        <v>418</v>
      </c>
      <c r="D10">
        <v>168</v>
      </c>
      <c r="E10">
        <v>1</v>
      </c>
      <c r="F10">
        <v>9</v>
      </c>
      <c r="G10">
        <v>9</v>
      </c>
      <c r="H10">
        <v>6</v>
      </c>
      <c r="I10">
        <v>18</v>
      </c>
      <c r="J10">
        <v>30</v>
      </c>
      <c r="K10">
        <v>36</v>
      </c>
      <c r="L10">
        <v>46</v>
      </c>
      <c r="N10">
        <v>9</v>
      </c>
      <c r="O10">
        <v>700000</v>
      </c>
      <c r="P10">
        <v>0</v>
      </c>
      <c r="Q10">
        <v>0</v>
      </c>
      <c r="R10">
        <v>16</v>
      </c>
      <c r="S10">
        <v>0</v>
      </c>
      <c r="T10">
        <v>0</v>
      </c>
      <c r="U10">
        <v>12</v>
      </c>
      <c r="V10">
        <v>2</v>
      </c>
      <c r="W10">
        <v>1</v>
      </c>
    </row>
    <row r="11" spans="1:23" x14ac:dyDescent="0.25">
      <c r="A11">
        <v>10</v>
      </c>
      <c r="B11">
        <v>2087525</v>
      </c>
      <c r="C11">
        <v>417</v>
      </c>
      <c r="D11">
        <v>168</v>
      </c>
      <c r="E11">
        <v>1</v>
      </c>
      <c r="F11">
        <v>9</v>
      </c>
      <c r="G11">
        <v>9</v>
      </c>
      <c r="H11">
        <v>6</v>
      </c>
      <c r="I11">
        <v>18</v>
      </c>
      <c r="J11">
        <v>30</v>
      </c>
      <c r="K11">
        <v>36</v>
      </c>
      <c r="L11">
        <v>46</v>
      </c>
      <c r="N11">
        <v>10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25">
      <c r="A12">
        <v>11</v>
      </c>
      <c r="B12">
        <v>2086385</v>
      </c>
      <c r="C12">
        <v>417</v>
      </c>
      <c r="D12">
        <v>168</v>
      </c>
      <c r="E12">
        <v>1</v>
      </c>
      <c r="F12">
        <v>9</v>
      </c>
      <c r="G12">
        <v>9</v>
      </c>
      <c r="H12">
        <v>6</v>
      </c>
      <c r="I12">
        <v>18</v>
      </c>
      <c r="J12">
        <v>30</v>
      </c>
      <c r="K12">
        <v>36</v>
      </c>
      <c r="L12">
        <v>46</v>
      </c>
    </row>
    <row r="13" spans="1:23" x14ac:dyDescent="0.25">
      <c r="A13">
        <v>12</v>
      </c>
      <c r="B13">
        <v>2085095</v>
      </c>
      <c r="C13">
        <v>417</v>
      </c>
      <c r="D13">
        <v>168</v>
      </c>
      <c r="E13">
        <v>1</v>
      </c>
      <c r="F13">
        <v>9</v>
      </c>
      <c r="G13">
        <v>9</v>
      </c>
      <c r="H13">
        <v>6</v>
      </c>
      <c r="I13">
        <v>18</v>
      </c>
      <c r="J13">
        <v>30</v>
      </c>
      <c r="K13">
        <v>36</v>
      </c>
      <c r="L13">
        <v>46</v>
      </c>
    </row>
    <row r="14" spans="1:23" x14ac:dyDescent="0.25">
      <c r="A14">
        <v>13</v>
      </c>
      <c r="B14">
        <v>2083650</v>
      </c>
      <c r="C14">
        <v>416</v>
      </c>
      <c r="D14">
        <v>168</v>
      </c>
      <c r="E14">
        <v>1</v>
      </c>
      <c r="F14">
        <v>9</v>
      </c>
      <c r="G14">
        <v>9</v>
      </c>
      <c r="H14">
        <v>6</v>
      </c>
      <c r="I14">
        <v>18</v>
      </c>
      <c r="J14">
        <v>30</v>
      </c>
      <c r="K14">
        <v>36</v>
      </c>
      <c r="L14">
        <v>46</v>
      </c>
    </row>
    <row r="15" spans="1:23" x14ac:dyDescent="0.25">
      <c r="A15">
        <v>14</v>
      </c>
      <c r="B15">
        <v>2082040</v>
      </c>
      <c r="C15">
        <v>416</v>
      </c>
      <c r="D15">
        <v>168</v>
      </c>
      <c r="E15">
        <v>1</v>
      </c>
      <c r="F15">
        <v>9</v>
      </c>
      <c r="G15">
        <v>9</v>
      </c>
      <c r="H15">
        <v>6</v>
      </c>
      <c r="I15">
        <v>18</v>
      </c>
      <c r="J15">
        <v>30</v>
      </c>
      <c r="K15">
        <v>36</v>
      </c>
      <c r="L15">
        <v>46</v>
      </c>
    </row>
    <row r="16" spans="1:23" x14ac:dyDescent="0.25">
      <c r="A16">
        <v>15</v>
      </c>
      <c r="B16">
        <v>2080255</v>
      </c>
      <c r="C16">
        <v>416</v>
      </c>
      <c r="D16">
        <v>168</v>
      </c>
      <c r="E16">
        <v>1</v>
      </c>
      <c r="F16">
        <v>9</v>
      </c>
      <c r="G16">
        <v>9</v>
      </c>
      <c r="H16">
        <v>6</v>
      </c>
      <c r="I16">
        <v>18</v>
      </c>
      <c r="J16">
        <v>30</v>
      </c>
      <c r="K16">
        <v>36</v>
      </c>
      <c r="L16">
        <v>46</v>
      </c>
    </row>
    <row r="17" spans="1:12" x14ac:dyDescent="0.25">
      <c r="A17">
        <v>16</v>
      </c>
      <c r="B17">
        <v>2078290</v>
      </c>
      <c r="C17">
        <v>415</v>
      </c>
      <c r="D17">
        <v>168</v>
      </c>
      <c r="E17">
        <v>1</v>
      </c>
      <c r="F17">
        <v>9</v>
      </c>
      <c r="G17">
        <v>9</v>
      </c>
      <c r="H17">
        <v>6</v>
      </c>
      <c r="I17">
        <v>18</v>
      </c>
      <c r="J17">
        <v>30</v>
      </c>
      <c r="K17">
        <v>36</v>
      </c>
      <c r="L17">
        <v>46</v>
      </c>
    </row>
    <row r="18" spans="1:12" x14ac:dyDescent="0.25">
      <c r="A18">
        <v>17</v>
      </c>
      <c r="B18">
        <v>2076140</v>
      </c>
      <c r="C18">
        <v>415</v>
      </c>
      <c r="D18">
        <v>168</v>
      </c>
      <c r="E18">
        <v>1</v>
      </c>
      <c r="F18">
        <v>9</v>
      </c>
      <c r="G18">
        <v>9</v>
      </c>
      <c r="H18">
        <v>6</v>
      </c>
      <c r="I18">
        <v>18</v>
      </c>
      <c r="J18">
        <v>30</v>
      </c>
      <c r="K18">
        <v>36</v>
      </c>
      <c r="L18">
        <v>46</v>
      </c>
    </row>
    <row r="19" spans="1:12" x14ac:dyDescent="0.25">
      <c r="A19">
        <v>18</v>
      </c>
      <c r="B19">
        <v>2073795</v>
      </c>
      <c r="C19">
        <v>414</v>
      </c>
      <c r="D19">
        <v>168</v>
      </c>
      <c r="E19">
        <v>1</v>
      </c>
      <c r="F19">
        <v>9</v>
      </c>
      <c r="G19">
        <v>9</v>
      </c>
      <c r="H19">
        <v>6</v>
      </c>
      <c r="I19">
        <v>18</v>
      </c>
      <c r="J19">
        <v>30</v>
      </c>
      <c r="K19">
        <v>36</v>
      </c>
      <c r="L19">
        <v>46</v>
      </c>
    </row>
    <row r="20" spans="1:12" x14ac:dyDescent="0.25">
      <c r="A20">
        <v>19</v>
      </c>
      <c r="B20" s="19">
        <v>2071250</v>
      </c>
      <c r="C20">
        <v>413</v>
      </c>
      <c r="D20">
        <v>168</v>
      </c>
      <c r="E20">
        <v>1</v>
      </c>
      <c r="F20">
        <v>9</v>
      </c>
      <c r="G20">
        <v>9</v>
      </c>
      <c r="H20">
        <v>6</v>
      </c>
      <c r="I20">
        <v>18</v>
      </c>
      <c r="J20">
        <v>30</v>
      </c>
      <c r="K20">
        <v>36</v>
      </c>
      <c r="L20">
        <v>46</v>
      </c>
    </row>
    <row r="21" spans="1:12" x14ac:dyDescent="0.25">
      <c r="A21">
        <v>20</v>
      </c>
      <c r="B21" s="19">
        <v>2068495</v>
      </c>
      <c r="C21">
        <v>413</v>
      </c>
      <c r="D21">
        <v>168</v>
      </c>
      <c r="E21">
        <v>1</v>
      </c>
      <c r="F21">
        <v>9</v>
      </c>
      <c r="G21">
        <v>9</v>
      </c>
      <c r="H21">
        <v>6</v>
      </c>
      <c r="I21">
        <v>18</v>
      </c>
      <c r="J21">
        <v>30</v>
      </c>
      <c r="K21">
        <v>36</v>
      </c>
      <c r="L21">
        <v>46</v>
      </c>
    </row>
    <row r="22" spans="1:12" x14ac:dyDescent="0.25">
      <c r="A22">
        <v>21</v>
      </c>
      <c r="B22" s="19">
        <v>2045520</v>
      </c>
      <c r="C22">
        <v>412</v>
      </c>
      <c r="D22">
        <v>165</v>
      </c>
      <c r="E22">
        <v>0</v>
      </c>
      <c r="F22">
        <v>9</v>
      </c>
      <c r="G22">
        <v>9</v>
      </c>
      <c r="H22">
        <v>6</v>
      </c>
      <c r="I22">
        <v>15</v>
      </c>
      <c r="J22">
        <v>30</v>
      </c>
      <c r="K22">
        <v>36</v>
      </c>
      <c r="L22">
        <v>46</v>
      </c>
    </row>
    <row r="23" spans="1:12" x14ac:dyDescent="0.25">
      <c r="A23">
        <v>22</v>
      </c>
      <c r="B23" s="19">
        <v>2042160</v>
      </c>
      <c r="C23">
        <v>411</v>
      </c>
      <c r="D23">
        <v>165</v>
      </c>
      <c r="E23">
        <v>0</v>
      </c>
      <c r="F23">
        <v>9</v>
      </c>
      <c r="G23">
        <v>9</v>
      </c>
      <c r="H23">
        <v>6</v>
      </c>
      <c r="I23">
        <v>15</v>
      </c>
      <c r="J23">
        <v>30</v>
      </c>
      <c r="K23">
        <v>36</v>
      </c>
      <c r="L23">
        <v>46</v>
      </c>
    </row>
    <row r="24" spans="1:12" x14ac:dyDescent="0.25">
      <c r="A24">
        <v>23</v>
      </c>
      <c r="B24" s="19">
        <v>2038560</v>
      </c>
      <c r="C24">
        <v>410</v>
      </c>
      <c r="D24">
        <v>165</v>
      </c>
      <c r="E24">
        <v>0</v>
      </c>
      <c r="F24">
        <v>9</v>
      </c>
      <c r="G24">
        <v>9</v>
      </c>
      <c r="H24">
        <v>6</v>
      </c>
      <c r="I24">
        <v>15</v>
      </c>
      <c r="J24">
        <v>30</v>
      </c>
      <c r="K24">
        <v>36</v>
      </c>
      <c r="L24">
        <v>46</v>
      </c>
    </row>
    <row r="25" spans="1:12" x14ac:dyDescent="0.25">
      <c r="A25">
        <v>24</v>
      </c>
      <c r="B25" s="19">
        <v>2034710</v>
      </c>
      <c r="C25">
        <v>409</v>
      </c>
      <c r="D25">
        <v>165</v>
      </c>
      <c r="E25">
        <v>0</v>
      </c>
      <c r="F25">
        <v>9</v>
      </c>
      <c r="G25">
        <v>9</v>
      </c>
      <c r="H25">
        <v>6</v>
      </c>
      <c r="I25">
        <v>15</v>
      </c>
      <c r="J25">
        <v>30</v>
      </c>
      <c r="K25">
        <v>36</v>
      </c>
      <c r="L25">
        <v>46</v>
      </c>
    </row>
    <row r="26" spans="1:12" x14ac:dyDescent="0.25">
      <c r="A26">
        <v>25</v>
      </c>
      <c r="B26" s="19">
        <v>2030600</v>
      </c>
      <c r="C26">
        <v>408</v>
      </c>
      <c r="D26">
        <v>165</v>
      </c>
      <c r="E26">
        <v>0</v>
      </c>
      <c r="F26">
        <v>9</v>
      </c>
      <c r="G26">
        <v>9</v>
      </c>
      <c r="H26">
        <v>6</v>
      </c>
      <c r="I26">
        <v>15</v>
      </c>
      <c r="J26">
        <v>30</v>
      </c>
      <c r="K26">
        <v>36</v>
      </c>
      <c r="L26">
        <v>46</v>
      </c>
    </row>
    <row r="27" spans="1:12" x14ac:dyDescent="0.25">
      <c r="A27">
        <v>26</v>
      </c>
      <c r="B27" s="19">
        <v>2026225</v>
      </c>
      <c r="C27">
        <v>407</v>
      </c>
      <c r="D27">
        <v>165</v>
      </c>
      <c r="E27">
        <v>0</v>
      </c>
      <c r="F27">
        <v>9</v>
      </c>
      <c r="G27">
        <v>9</v>
      </c>
      <c r="H27">
        <v>6</v>
      </c>
      <c r="I27">
        <v>15</v>
      </c>
      <c r="J27">
        <v>30</v>
      </c>
      <c r="K27">
        <v>36</v>
      </c>
      <c r="L27">
        <v>46</v>
      </c>
    </row>
    <row r="28" spans="1:12" x14ac:dyDescent="0.25">
      <c r="A28">
        <v>27</v>
      </c>
      <c r="B28" s="19">
        <v>2021575</v>
      </c>
      <c r="C28">
        <v>406</v>
      </c>
      <c r="D28">
        <v>165</v>
      </c>
      <c r="E28">
        <v>0</v>
      </c>
      <c r="F28">
        <v>9</v>
      </c>
      <c r="G28">
        <v>9</v>
      </c>
      <c r="H28">
        <v>6</v>
      </c>
      <c r="I28">
        <v>15</v>
      </c>
      <c r="J28">
        <v>30</v>
      </c>
      <c r="K28">
        <v>36</v>
      </c>
      <c r="L28">
        <v>46</v>
      </c>
    </row>
    <row r="29" spans="1:12" x14ac:dyDescent="0.25">
      <c r="A29">
        <v>28</v>
      </c>
      <c r="B29" s="19">
        <v>2016645</v>
      </c>
      <c r="C29">
        <v>405</v>
      </c>
      <c r="D29">
        <v>165</v>
      </c>
      <c r="E29">
        <v>0</v>
      </c>
      <c r="F29">
        <v>9</v>
      </c>
      <c r="G29">
        <v>9</v>
      </c>
      <c r="H29">
        <v>6</v>
      </c>
      <c r="I29">
        <v>15</v>
      </c>
      <c r="J29">
        <v>30</v>
      </c>
      <c r="K29">
        <v>36</v>
      </c>
      <c r="L29">
        <v>46</v>
      </c>
    </row>
    <row r="30" spans="1:12" x14ac:dyDescent="0.25">
      <c r="A30">
        <v>29</v>
      </c>
      <c r="B30" s="19">
        <v>2011425</v>
      </c>
      <c r="C30">
        <v>403</v>
      </c>
      <c r="D30">
        <v>165</v>
      </c>
      <c r="E30">
        <v>0</v>
      </c>
      <c r="F30">
        <v>9</v>
      </c>
      <c r="G30">
        <v>9</v>
      </c>
      <c r="H30">
        <v>6</v>
      </c>
      <c r="I30">
        <v>15</v>
      </c>
      <c r="J30">
        <v>30</v>
      </c>
      <c r="K30">
        <v>36</v>
      </c>
      <c r="L30">
        <v>46</v>
      </c>
    </row>
    <row r="31" spans="1:12" x14ac:dyDescent="0.25">
      <c r="A31">
        <v>30</v>
      </c>
      <c r="B31" s="19">
        <v>2005910</v>
      </c>
      <c r="C31">
        <v>402</v>
      </c>
      <c r="D31">
        <v>165</v>
      </c>
      <c r="E31">
        <v>0</v>
      </c>
      <c r="F31">
        <v>9</v>
      </c>
      <c r="G31">
        <v>9</v>
      </c>
      <c r="H31">
        <v>6</v>
      </c>
      <c r="I31">
        <v>15</v>
      </c>
      <c r="J31">
        <v>30</v>
      </c>
      <c r="K31">
        <v>36</v>
      </c>
      <c r="L31">
        <v>46</v>
      </c>
    </row>
    <row r="32" spans="1:12" x14ac:dyDescent="0.25">
      <c r="A32">
        <v>31</v>
      </c>
      <c r="B32">
        <v>2000090</v>
      </c>
      <c r="C32">
        <v>401</v>
      </c>
      <c r="D32">
        <v>165</v>
      </c>
      <c r="E32">
        <v>0</v>
      </c>
      <c r="F32">
        <v>9</v>
      </c>
      <c r="G32">
        <v>9</v>
      </c>
      <c r="H32">
        <v>6</v>
      </c>
      <c r="I32">
        <v>15</v>
      </c>
      <c r="J32">
        <v>30</v>
      </c>
      <c r="K32">
        <v>36</v>
      </c>
      <c r="L32">
        <v>46</v>
      </c>
    </row>
    <row r="33" spans="1:12" x14ac:dyDescent="0.25">
      <c r="A33">
        <v>32</v>
      </c>
      <c r="B33">
        <v>1993960</v>
      </c>
      <c r="C33">
        <v>399</v>
      </c>
      <c r="D33">
        <v>165</v>
      </c>
      <c r="E33">
        <v>0</v>
      </c>
      <c r="F33">
        <v>9</v>
      </c>
      <c r="G33">
        <v>9</v>
      </c>
      <c r="H33">
        <v>6</v>
      </c>
      <c r="I33">
        <v>15</v>
      </c>
      <c r="J33">
        <v>30</v>
      </c>
      <c r="K33">
        <v>36</v>
      </c>
      <c r="L33">
        <v>46</v>
      </c>
    </row>
    <row r="34" spans="1:12" x14ac:dyDescent="0.25">
      <c r="A34">
        <v>33</v>
      </c>
      <c r="B34">
        <v>1987510</v>
      </c>
      <c r="C34">
        <v>397</v>
      </c>
      <c r="D34">
        <v>165</v>
      </c>
      <c r="E34">
        <v>0</v>
      </c>
      <c r="F34">
        <v>9</v>
      </c>
      <c r="G34">
        <v>9</v>
      </c>
      <c r="H34">
        <v>6</v>
      </c>
      <c r="I34">
        <v>15</v>
      </c>
      <c r="J34">
        <v>30</v>
      </c>
      <c r="K34">
        <v>36</v>
      </c>
      <c r="L34">
        <v>46</v>
      </c>
    </row>
    <row r="35" spans="1:12" x14ac:dyDescent="0.25">
      <c r="A35">
        <v>34</v>
      </c>
      <c r="B35">
        <v>1980735</v>
      </c>
      <c r="C35">
        <v>396</v>
      </c>
      <c r="D35">
        <v>165</v>
      </c>
      <c r="E35">
        <v>0</v>
      </c>
      <c r="F35">
        <v>9</v>
      </c>
      <c r="G35">
        <v>9</v>
      </c>
      <c r="H35">
        <v>6</v>
      </c>
      <c r="I35">
        <v>15</v>
      </c>
      <c r="J35">
        <v>30</v>
      </c>
      <c r="K35">
        <v>36</v>
      </c>
      <c r="L35">
        <v>46</v>
      </c>
    </row>
    <row r="36" spans="1:12" x14ac:dyDescent="0.25">
      <c r="A36">
        <v>35</v>
      </c>
      <c r="B36">
        <v>1973625</v>
      </c>
      <c r="C36">
        <v>394</v>
      </c>
      <c r="D36">
        <v>165</v>
      </c>
      <c r="E36">
        <v>0</v>
      </c>
      <c r="F36">
        <v>9</v>
      </c>
      <c r="G36">
        <v>9</v>
      </c>
      <c r="H36">
        <v>6</v>
      </c>
      <c r="I36">
        <v>15</v>
      </c>
      <c r="J36">
        <v>30</v>
      </c>
      <c r="K36">
        <v>36</v>
      </c>
      <c r="L36">
        <v>46</v>
      </c>
    </row>
    <row r="37" spans="1:12" x14ac:dyDescent="0.25">
      <c r="A37">
        <v>36</v>
      </c>
      <c r="B37">
        <v>1966175</v>
      </c>
      <c r="C37">
        <v>392</v>
      </c>
      <c r="D37">
        <v>165</v>
      </c>
      <c r="E37">
        <v>0</v>
      </c>
      <c r="F37">
        <v>9</v>
      </c>
      <c r="G37">
        <v>9</v>
      </c>
      <c r="H37">
        <v>6</v>
      </c>
      <c r="I37">
        <v>15</v>
      </c>
      <c r="J37">
        <v>30</v>
      </c>
      <c r="K37">
        <v>36</v>
      </c>
      <c r="L37">
        <v>46</v>
      </c>
    </row>
    <row r="38" spans="1:12" x14ac:dyDescent="0.25">
      <c r="A38">
        <v>37</v>
      </c>
      <c r="B38">
        <v>1958380</v>
      </c>
      <c r="C38">
        <v>390</v>
      </c>
      <c r="D38">
        <v>165</v>
      </c>
      <c r="E38">
        <v>0</v>
      </c>
      <c r="F38">
        <v>9</v>
      </c>
      <c r="G38">
        <v>9</v>
      </c>
      <c r="H38">
        <v>6</v>
      </c>
      <c r="I38">
        <v>15</v>
      </c>
      <c r="J38">
        <v>30</v>
      </c>
      <c r="K38">
        <v>36</v>
      </c>
      <c r="L38">
        <v>46</v>
      </c>
    </row>
    <row r="39" spans="1:12" x14ac:dyDescent="0.25">
      <c r="A39">
        <v>38</v>
      </c>
      <c r="B39">
        <v>1950230</v>
      </c>
      <c r="C39">
        <v>388</v>
      </c>
      <c r="D39">
        <v>165</v>
      </c>
      <c r="E39">
        <v>0</v>
      </c>
      <c r="F39">
        <v>9</v>
      </c>
      <c r="G39">
        <v>9</v>
      </c>
      <c r="H39">
        <v>6</v>
      </c>
      <c r="I39">
        <v>15</v>
      </c>
      <c r="J39">
        <v>30</v>
      </c>
      <c r="K39">
        <v>36</v>
      </c>
      <c r="L39">
        <v>46</v>
      </c>
    </row>
    <row r="40" spans="1:12" x14ac:dyDescent="0.25">
      <c r="A40">
        <v>39</v>
      </c>
      <c r="B40">
        <v>1941715</v>
      </c>
      <c r="C40">
        <v>386</v>
      </c>
      <c r="D40">
        <v>165</v>
      </c>
      <c r="E40">
        <v>0</v>
      </c>
      <c r="F40">
        <v>9</v>
      </c>
      <c r="G40">
        <v>9</v>
      </c>
      <c r="H40">
        <v>6</v>
      </c>
      <c r="I40">
        <v>15</v>
      </c>
      <c r="J40">
        <v>30</v>
      </c>
      <c r="K40">
        <v>36</v>
      </c>
      <c r="L40">
        <v>46</v>
      </c>
    </row>
    <row r="41" spans="1:12" x14ac:dyDescent="0.25">
      <c r="A41">
        <v>40</v>
      </c>
      <c r="B41">
        <v>1932830</v>
      </c>
      <c r="C41">
        <v>384</v>
      </c>
      <c r="D41">
        <v>165</v>
      </c>
      <c r="E41">
        <v>0</v>
      </c>
      <c r="F41">
        <v>9</v>
      </c>
      <c r="G41">
        <v>9</v>
      </c>
      <c r="H41">
        <v>6</v>
      </c>
      <c r="I41">
        <v>15</v>
      </c>
      <c r="J41">
        <v>30</v>
      </c>
      <c r="K41">
        <v>36</v>
      </c>
      <c r="L41">
        <v>46</v>
      </c>
    </row>
    <row r="42" spans="1:12" x14ac:dyDescent="0.25">
      <c r="A42">
        <v>41</v>
      </c>
      <c r="B42">
        <v>1883570</v>
      </c>
      <c r="C42">
        <v>381</v>
      </c>
      <c r="D42">
        <v>155</v>
      </c>
      <c r="E42">
        <v>0</v>
      </c>
      <c r="F42">
        <v>6</v>
      </c>
      <c r="G42">
        <v>9</v>
      </c>
      <c r="H42">
        <v>6</v>
      </c>
      <c r="I42">
        <v>0</v>
      </c>
      <c r="J42">
        <v>30</v>
      </c>
      <c r="K42">
        <v>36</v>
      </c>
      <c r="L42">
        <v>44</v>
      </c>
    </row>
    <row r="43" spans="1:12" x14ac:dyDescent="0.25">
      <c r="A43">
        <v>42</v>
      </c>
      <c r="B43">
        <v>1873445</v>
      </c>
      <c r="C43">
        <v>379</v>
      </c>
      <c r="D43">
        <v>155</v>
      </c>
      <c r="E43">
        <v>0</v>
      </c>
      <c r="F43">
        <v>6</v>
      </c>
      <c r="G43">
        <v>9</v>
      </c>
      <c r="H43">
        <v>6</v>
      </c>
      <c r="I43">
        <v>0</v>
      </c>
      <c r="J43">
        <v>30</v>
      </c>
      <c r="K43">
        <v>36</v>
      </c>
      <c r="L43">
        <v>44</v>
      </c>
    </row>
    <row r="44" spans="1:12" x14ac:dyDescent="0.25">
      <c r="A44">
        <v>43</v>
      </c>
      <c r="B44">
        <v>1862905</v>
      </c>
      <c r="C44">
        <v>376</v>
      </c>
      <c r="D44">
        <v>155</v>
      </c>
      <c r="E44">
        <v>0</v>
      </c>
      <c r="F44">
        <v>6</v>
      </c>
      <c r="G44">
        <v>9</v>
      </c>
      <c r="H44">
        <v>6</v>
      </c>
      <c r="I44">
        <v>0</v>
      </c>
      <c r="J44">
        <v>30</v>
      </c>
      <c r="K44">
        <v>36</v>
      </c>
      <c r="L44">
        <v>44</v>
      </c>
    </row>
    <row r="45" spans="1:12" x14ac:dyDescent="0.25">
      <c r="A45">
        <v>44</v>
      </c>
      <c r="B45">
        <v>1851950</v>
      </c>
      <c r="C45">
        <v>373</v>
      </c>
      <c r="D45">
        <v>155</v>
      </c>
      <c r="E45">
        <v>0</v>
      </c>
      <c r="F45">
        <v>6</v>
      </c>
      <c r="G45">
        <v>9</v>
      </c>
      <c r="H45">
        <v>6</v>
      </c>
      <c r="I45">
        <v>0</v>
      </c>
      <c r="J45">
        <v>30</v>
      </c>
      <c r="K45">
        <v>36</v>
      </c>
      <c r="L45">
        <v>44</v>
      </c>
    </row>
    <row r="46" spans="1:12" x14ac:dyDescent="0.25">
      <c r="A46">
        <v>45</v>
      </c>
      <c r="B46">
        <v>1840570</v>
      </c>
      <c r="C46">
        <v>371</v>
      </c>
      <c r="D46">
        <v>155</v>
      </c>
      <c r="E46">
        <v>0</v>
      </c>
      <c r="F46">
        <v>6</v>
      </c>
      <c r="G46">
        <v>9</v>
      </c>
      <c r="H46">
        <v>6</v>
      </c>
      <c r="I46">
        <v>0</v>
      </c>
      <c r="J46">
        <v>30</v>
      </c>
      <c r="K46">
        <v>36</v>
      </c>
      <c r="L46">
        <v>44</v>
      </c>
    </row>
    <row r="47" spans="1:12" x14ac:dyDescent="0.25">
      <c r="A47">
        <v>46</v>
      </c>
      <c r="B47">
        <v>1828755</v>
      </c>
      <c r="C47">
        <v>368</v>
      </c>
      <c r="D47">
        <v>155</v>
      </c>
      <c r="E47">
        <v>0</v>
      </c>
      <c r="F47">
        <v>6</v>
      </c>
      <c r="G47">
        <v>9</v>
      </c>
      <c r="H47">
        <v>6</v>
      </c>
      <c r="I47">
        <v>0</v>
      </c>
      <c r="J47">
        <v>30</v>
      </c>
      <c r="K47">
        <v>36</v>
      </c>
      <c r="L47">
        <v>44</v>
      </c>
    </row>
    <row r="48" spans="1:12" x14ac:dyDescent="0.25">
      <c r="A48">
        <v>47</v>
      </c>
      <c r="B48">
        <v>1816500</v>
      </c>
      <c r="C48">
        <v>365</v>
      </c>
      <c r="D48">
        <v>155</v>
      </c>
      <c r="E48">
        <v>0</v>
      </c>
      <c r="F48">
        <v>6</v>
      </c>
      <c r="G48">
        <v>9</v>
      </c>
      <c r="H48">
        <v>6</v>
      </c>
      <c r="I48">
        <v>0</v>
      </c>
      <c r="J48">
        <v>30</v>
      </c>
      <c r="K48">
        <v>36</v>
      </c>
      <c r="L48">
        <v>44</v>
      </c>
    </row>
    <row r="49" spans="1:12" x14ac:dyDescent="0.25">
      <c r="A49">
        <v>48</v>
      </c>
      <c r="B49">
        <v>1803795</v>
      </c>
      <c r="C49">
        <v>361</v>
      </c>
      <c r="D49">
        <v>155</v>
      </c>
      <c r="E49">
        <v>0</v>
      </c>
      <c r="F49">
        <v>6</v>
      </c>
      <c r="G49">
        <v>9</v>
      </c>
      <c r="H49">
        <v>6</v>
      </c>
      <c r="I49">
        <v>0</v>
      </c>
      <c r="J49">
        <v>30</v>
      </c>
      <c r="K49">
        <v>36</v>
      </c>
      <c r="L49">
        <v>44</v>
      </c>
    </row>
    <row r="50" spans="1:12" x14ac:dyDescent="0.25">
      <c r="A50">
        <v>49</v>
      </c>
      <c r="B50">
        <v>1790635</v>
      </c>
      <c r="C50">
        <v>358</v>
      </c>
      <c r="D50">
        <v>155</v>
      </c>
      <c r="E50">
        <v>0</v>
      </c>
      <c r="F50">
        <v>6</v>
      </c>
      <c r="G50">
        <v>9</v>
      </c>
      <c r="H50">
        <v>6</v>
      </c>
      <c r="I50">
        <v>0</v>
      </c>
      <c r="J50">
        <v>30</v>
      </c>
      <c r="K50">
        <v>36</v>
      </c>
      <c r="L50">
        <v>44</v>
      </c>
    </row>
    <row r="51" spans="1:12" x14ac:dyDescent="0.25">
      <c r="A51">
        <v>50</v>
      </c>
      <c r="B51">
        <v>1777010</v>
      </c>
      <c r="C51">
        <v>355</v>
      </c>
      <c r="D51">
        <v>155</v>
      </c>
      <c r="E51">
        <v>0</v>
      </c>
      <c r="F51">
        <v>6</v>
      </c>
      <c r="G51">
        <v>9</v>
      </c>
      <c r="H51">
        <v>6</v>
      </c>
      <c r="I51">
        <v>0</v>
      </c>
      <c r="J51">
        <v>30</v>
      </c>
      <c r="K51">
        <v>36</v>
      </c>
      <c r="L51">
        <v>44</v>
      </c>
    </row>
    <row r="52" spans="1:12" x14ac:dyDescent="0.25">
      <c r="A52">
        <v>51</v>
      </c>
      <c r="B52">
        <v>1702915</v>
      </c>
      <c r="C52">
        <v>351</v>
      </c>
      <c r="D52">
        <v>135</v>
      </c>
      <c r="E52">
        <v>0</v>
      </c>
      <c r="F52">
        <v>0</v>
      </c>
      <c r="G52">
        <v>9</v>
      </c>
      <c r="H52">
        <v>6</v>
      </c>
      <c r="I52">
        <v>0</v>
      </c>
      <c r="J52">
        <v>18</v>
      </c>
      <c r="K52">
        <v>36</v>
      </c>
      <c r="L52">
        <v>40</v>
      </c>
    </row>
    <row r="53" spans="1:12" x14ac:dyDescent="0.25">
      <c r="A53">
        <v>52</v>
      </c>
      <c r="B53">
        <v>1687615</v>
      </c>
      <c r="C53">
        <v>347</v>
      </c>
      <c r="D53">
        <v>135</v>
      </c>
      <c r="E53">
        <v>0</v>
      </c>
      <c r="F53">
        <v>0</v>
      </c>
      <c r="G53">
        <v>9</v>
      </c>
      <c r="H53">
        <v>6</v>
      </c>
      <c r="I53">
        <v>0</v>
      </c>
      <c r="J53">
        <v>18</v>
      </c>
      <c r="K53">
        <v>36</v>
      </c>
      <c r="L53">
        <v>40</v>
      </c>
    </row>
    <row r="54" spans="1:12" x14ac:dyDescent="0.25">
      <c r="A54">
        <v>53</v>
      </c>
      <c r="B54">
        <v>1671805</v>
      </c>
      <c r="C54">
        <v>343</v>
      </c>
      <c r="D54">
        <v>135</v>
      </c>
      <c r="E54">
        <v>0</v>
      </c>
      <c r="F54">
        <v>0</v>
      </c>
      <c r="G54">
        <v>9</v>
      </c>
      <c r="H54">
        <v>6</v>
      </c>
      <c r="I54">
        <v>0</v>
      </c>
      <c r="J54">
        <v>18</v>
      </c>
      <c r="K54">
        <v>36</v>
      </c>
      <c r="L54">
        <v>40</v>
      </c>
    </row>
    <row r="55" spans="1:12" x14ac:dyDescent="0.25">
      <c r="A55">
        <v>54</v>
      </c>
      <c r="B55">
        <v>1655475</v>
      </c>
      <c r="C55">
        <v>339</v>
      </c>
      <c r="D55">
        <v>135</v>
      </c>
      <c r="E55">
        <v>0</v>
      </c>
      <c r="F55">
        <v>0</v>
      </c>
      <c r="G55">
        <v>9</v>
      </c>
      <c r="H55">
        <v>6</v>
      </c>
      <c r="I55">
        <v>0</v>
      </c>
      <c r="J55">
        <v>18</v>
      </c>
      <c r="K55">
        <v>36</v>
      </c>
      <c r="L55">
        <v>40</v>
      </c>
    </row>
    <row r="56" spans="1:12" x14ac:dyDescent="0.25">
      <c r="A56">
        <v>55</v>
      </c>
      <c r="B56">
        <v>1638620</v>
      </c>
      <c r="C56">
        <v>335</v>
      </c>
      <c r="D56">
        <v>135</v>
      </c>
      <c r="E56">
        <v>0</v>
      </c>
      <c r="F56">
        <v>0</v>
      </c>
      <c r="G56">
        <v>9</v>
      </c>
      <c r="H56">
        <v>6</v>
      </c>
      <c r="I56">
        <v>0</v>
      </c>
      <c r="J56">
        <v>18</v>
      </c>
      <c r="K56">
        <v>36</v>
      </c>
      <c r="L56">
        <v>40</v>
      </c>
    </row>
    <row r="57" spans="1:12" x14ac:dyDescent="0.25">
      <c r="A57">
        <v>56</v>
      </c>
      <c r="B57">
        <v>1621230</v>
      </c>
      <c r="C57">
        <v>331</v>
      </c>
      <c r="D57">
        <v>135</v>
      </c>
      <c r="E57">
        <v>0</v>
      </c>
      <c r="F57">
        <v>0</v>
      </c>
      <c r="G57">
        <v>9</v>
      </c>
      <c r="H57">
        <v>6</v>
      </c>
      <c r="I57">
        <v>0</v>
      </c>
      <c r="J57">
        <v>18</v>
      </c>
      <c r="K57">
        <v>36</v>
      </c>
      <c r="L57">
        <v>40</v>
      </c>
    </row>
    <row r="58" spans="1:12" x14ac:dyDescent="0.25">
      <c r="A58">
        <v>57</v>
      </c>
      <c r="B58">
        <v>1603300</v>
      </c>
      <c r="C58">
        <v>326</v>
      </c>
      <c r="D58">
        <v>135</v>
      </c>
      <c r="E58">
        <v>0</v>
      </c>
      <c r="F58">
        <v>0</v>
      </c>
      <c r="G58">
        <v>9</v>
      </c>
      <c r="H58">
        <v>6</v>
      </c>
      <c r="I58">
        <v>0</v>
      </c>
      <c r="J58">
        <v>18</v>
      </c>
      <c r="K58">
        <v>36</v>
      </c>
      <c r="L58">
        <v>40</v>
      </c>
    </row>
    <row r="59" spans="1:12" x14ac:dyDescent="0.25">
      <c r="A59">
        <v>58</v>
      </c>
      <c r="B59">
        <v>1584820</v>
      </c>
      <c r="C59">
        <v>322</v>
      </c>
      <c r="D59">
        <v>135</v>
      </c>
      <c r="E59">
        <v>0</v>
      </c>
      <c r="F59">
        <v>0</v>
      </c>
      <c r="G59">
        <v>9</v>
      </c>
      <c r="H59">
        <v>6</v>
      </c>
      <c r="I59">
        <v>0</v>
      </c>
      <c r="J59">
        <v>18</v>
      </c>
      <c r="K59">
        <v>36</v>
      </c>
      <c r="L59">
        <v>40</v>
      </c>
    </row>
    <row r="60" spans="1:12" x14ac:dyDescent="0.25">
      <c r="A60">
        <v>59</v>
      </c>
      <c r="B60">
        <v>1565785</v>
      </c>
      <c r="C60">
        <v>317</v>
      </c>
      <c r="D60">
        <v>135</v>
      </c>
      <c r="E60">
        <v>0</v>
      </c>
      <c r="F60">
        <v>0</v>
      </c>
      <c r="G60">
        <v>9</v>
      </c>
      <c r="H60">
        <v>6</v>
      </c>
      <c r="I60">
        <v>0</v>
      </c>
      <c r="J60">
        <v>18</v>
      </c>
      <c r="K60">
        <v>36</v>
      </c>
      <c r="L60">
        <v>40</v>
      </c>
    </row>
    <row r="61" spans="1:12" x14ac:dyDescent="0.25">
      <c r="A61">
        <v>60</v>
      </c>
      <c r="B61">
        <v>1546185</v>
      </c>
      <c r="C61">
        <v>312</v>
      </c>
      <c r="D61">
        <v>135</v>
      </c>
      <c r="E61">
        <v>0</v>
      </c>
      <c r="F61">
        <v>0</v>
      </c>
      <c r="G61">
        <v>9</v>
      </c>
      <c r="H61">
        <v>6</v>
      </c>
      <c r="I61">
        <v>0</v>
      </c>
      <c r="J61">
        <v>18</v>
      </c>
      <c r="K61">
        <v>36</v>
      </c>
      <c r="L61">
        <v>40</v>
      </c>
    </row>
    <row r="62" spans="1:12" x14ac:dyDescent="0.25">
      <c r="A62">
        <v>61</v>
      </c>
      <c r="B62">
        <v>1446010</v>
      </c>
      <c r="C62">
        <v>307</v>
      </c>
      <c r="D62">
        <v>105</v>
      </c>
      <c r="E62">
        <v>0</v>
      </c>
      <c r="F62">
        <v>0</v>
      </c>
      <c r="G62">
        <v>6</v>
      </c>
      <c r="H62">
        <v>6</v>
      </c>
      <c r="I62">
        <v>0</v>
      </c>
      <c r="J62">
        <v>0</v>
      </c>
      <c r="K62">
        <v>36</v>
      </c>
      <c r="L62">
        <v>32</v>
      </c>
    </row>
    <row r="63" spans="1:12" x14ac:dyDescent="0.25">
      <c r="A63">
        <v>62</v>
      </c>
      <c r="B63">
        <v>1424220</v>
      </c>
      <c r="C63">
        <v>302</v>
      </c>
      <c r="D63">
        <v>105</v>
      </c>
      <c r="E63">
        <v>0</v>
      </c>
      <c r="F63">
        <v>0</v>
      </c>
      <c r="G63">
        <v>6</v>
      </c>
      <c r="H63">
        <v>6</v>
      </c>
      <c r="I63">
        <v>0</v>
      </c>
      <c r="J63">
        <v>0</v>
      </c>
      <c r="K63">
        <v>36</v>
      </c>
      <c r="L63">
        <v>32</v>
      </c>
    </row>
    <row r="64" spans="1:12" x14ac:dyDescent="0.25">
      <c r="A64">
        <v>63</v>
      </c>
      <c r="B64">
        <v>1401810</v>
      </c>
      <c r="C64">
        <v>296</v>
      </c>
      <c r="D64">
        <v>105</v>
      </c>
      <c r="E64">
        <v>0</v>
      </c>
      <c r="F64">
        <v>0</v>
      </c>
      <c r="G64">
        <v>6</v>
      </c>
      <c r="H64">
        <v>6</v>
      </c>
      <c r="I64">
        <v>0</v>
      </c>
      <c r="J64">
        <v>0</v>
      </c>
      <c r="K64">
        <v>36</v>
      </c>
      <c r="L64">
        <v>32</v>
      </c>
    </row>
    <row r="65" spans="1:12" x14ac:dyDescent="0.25">
      <c r="A65">
        <v>64</v>
      </c>
      <c r="B65">
        <v>1378775</v>
      </c>
      <c r="C65">
        <v>290</v>
      </c>
      <c r="D65">
        <v>105</v>
      </c>
      <c r="E65">
        <v>0</v>
      </c>
      <c r="F65">
        <v>0</v>
      </c>
      <c r="G65">
        <v>6</v>
      </c>
      <c r="H65">
        <v>6</v>
      </c>
      <c r="I65">
        <v>0</v>
      </c>
      <c r="J65">
        <v>0</v>
      </c>
      <c r="K65">
        <v>36</v>
      </c>
      <c r="L65">
        <v>32</v>
      </c>
    </row>
    <row r="66" spans="1:12" x14ac:dyDescent="0.25">
      <c r="A66">
        <v>65</v>
      </c>
      <c r="B66">
        <v>1355110</v>
      </c>
      <c r="C66">
        <v>284</v>
      </c>
      <c r="D66">
        <v>105</v>
      </c>
      <c r="E66">
        <v>0</v>
      </c>
      <c r="F66">
        <v>0</v>
      </c>
      <c r="G66">
        <v>6</v>
      </c>
      <c r="H66">
        <v>6</v>
      </c>
      <c r="I66">
        <v>0</v>
      </c>
      <c r="J66">
        <v>0</v>
      </c>
      <c r="K66">
        <v>36</v>
      </c>
      <c r="L66">
        <v>32</v>
      </c>
    </row>
    <row r="67" spans="1:12" x14ac:dyDescent="0.25">
      <c r="A67">
        <v>66</v>
      </c>
      <c r="B67">
        <v>1330805</v>
      </c>
      <c r="C67">
        <v>278</v>
      </c>
      <c r="D67">
        <v>105</v>
      </c>
      <c r="E67">
        <v>0</v>
      </c>
      <c r="F67">
        <v>0</v>
      </c>
      <c r="G67">
        <v>6</v>
      </c>
      <c r="H67">
        <v>6</v>
      </c>
      <c r="I67">
        <v>0</v>
      </c>
      <c r="J67">
        <v>0</v>
      </c>
      <c r="K67">
        <v>36</v>
      </c>
      <c r="L67">
        <v>32</v>
      </c>
    </row>
    <row r="68" spans="1:12" x14ac:dyDescent="0.25">
      <c r="A68">
        <v>67</v>
      </c>
      <c r="B68">
        <v>1305850</v>
      </c>
      <c r="C68">
        <v>272</v>
      </c>
      <c r="D68">
        <v>105</v>
      </c>
      <c r="E68">
        <v>0</v>
      </c>
      <c r="F68">
        <v>0</v>
      </c>
      <c r="G68">
        <v>6</v>
      </c>
      <c r="H68">
        <v>6</v>
      </c>
      <c r="I68">
        <v>0</v>
      </c>
      <c r="J68">
        <v>0</v>
      </c>
      <c r="K68">
        <v>36</v>
      </c>
      <c r="L68">
        <v>32</v>
      </c>
    </row>
    <row r="69" spans="1:12" x14ac:dyDescent="0.25">
      <c r="A69">
        <v>68</v>
      </c>
      <c r="B69">
        <v>1280235</v>
      </c>
      <c r="C69">
        <v>266</v>
      </c>
      <c r="D69">
        <v>105</v>
      </c>
      <c r="E69">
        <v>0</v>
      </c>
      <c r="F69">
        <v>0</v>
      </c>
      <c r="G69">
        <v>6</v>
      </c>
      <c r="H69">
        <v>6</v>
      </c>
      <c r="I69">
        <v>0</v>
      </c>
      <c r="J69">
        <v>0</v>
      </c>
      <c r="K69">
        <v>36</v>
      </c>
      <c r="L69">
        <v>32</v>
      </c>
    </row>
    <row r="70" spans="1:12" x14ac:dyDescent="0.25">
      <c r="A70">
        <v>69</v>
      </c>
      <c r="B70">
        <v>1253955</v>
      </c>
      <c r="C70">
        <v>259</v>
      </c>
      <c r="D70">
        <v>105</v>
      </c>
      <c r="E70">
        <v>0</v>
      </c>
      <c r="F70">
        <v>0</v>
      </c>
      <c r="G70">
        <v>6</v>
      </c>
      <c r="H70">
        <v>6</v>
      </c>
      <c r="I70">
        <v>0</v>
      </c>
      <c r="J70">
        <v>0</v>
      </c>
      <c r="K70">
        <v>36</v>
      </c>
      <c r="L70">
        <v>32</v>
      </c>
    </row>
    <row r="71" spans="1:12" x14ac:dyDescent="0.25">
      <c r="A71">
        <v>70</v>
      </c>
      <c r="B71">
        <v>1227000</v>
      </c>
      <c r="C71">
        <v>252</v>
      </c>
      <c r="D71">
        <v>105</v>
      </c>
      <c r="E71">
        <v>0</v>
      </c>
      <c r="F71">
        <v>0</v>
      </c>
      <c r="G71">
        <v>6</v>
      </c>
      <c r="H71">
        <v>6</v>
      </c>
      <c r="I71">
        <v>0</v>
      </c>
      <c r="J71">
        <v>0</v>
      </c>
      <c r="K71">
        <v>36</v>
      </c>
      <c r="L71">
        <v>32</v>
      </c>
    </row>
    <row r="72" spans="1:12" x14ac:dyDescent="0.25">
      <c r="A72">
        <v>71</v>
      </c>
      <c r="B72">
        <v>1099365</v>
      </c>
      <c r="C72">
        <v>245</v>
      </c>
      <c r="D72">
        <v>60</v>
      </c>
      <c r="E72">
        <v>0</v>
      </c>
      <c r="F72">
        <v>0</v>
      </c>
      <c r="G72">
        <v>0</v>
      </c>
      <c r="H72">
        <v>6</v>
      </c>
      <c r="I72">
        <v>0</v>
      </c>
      <c r="J72">
        <v>0</v>
      </c>
      <c r="K72">
        <v>24</v>
      </c>
      <c r="L72">
        <v>20</v>
      </c>
    </row>
    <row r="73" spans="1:12" x14ac:dyDescent="0.25">
      <c r="A73">
        <v>72</v>
      </c>
      <c r="B73">
        <v>1069625</v>
      </c>
      <c r="C73">
        <v>238</v>
      </c>
      <c r="D73">
        <v>60</v>
      </c>
      <c r="E73">
        <v>0</v>
      </c>
      <c r="F73">
        <v>0</v>
      </c>
      <c r="G73">
        <v>0</v>
      </c>
      <c r="H73">
        <v>6</v>
      </c>
      <c r="I73">
        <v>0</v>
      </c>
      <c r="J73">
        <v>0</v>
      </c>
      <c r="K73">
        <v>24</v>
      </c>
      <c r="L73">
        <v>20</v>
      </c>
    </row>
    <row r="74" spans="1:12" x14ac:dyDescent="0.25">
      <c r="A74">
        <v>73</v>
      </c>
      <c r="B74">
        <v>1039150</v>
      </c>
      <c r="C74">
        <v>230</v>
      </c>
      <c r="D74">
        <v>60</v>
      </c>
      <c r="E74">
        <v>0</v>
      </c>
      <c r="F74">
        <v>0</v>
      </c>
      <c r="G74">
        <v>0</v>
      </c>
      <c r="H74">
        <v>6</v>
      </c>
      <c r="I74">
        <v>0</v>
      </c>
      <c r="J74">
        <v>0</v>
      </c>
      <c r="K74">
        <v>24</v>
      </c>
      <c r="L74">
        <v>20</v>
      </c>
    </row>
    <row r="75" spans="1:12" x14ac:dyDescent="0.25">
      <c r="A75">
        <v>74</v>
      </c>
      <c r="B75">
        <v>1007935</v>
      </c>
      <c r="C75">
        <v>222</v>
      </c>
      <c r="D75">
        <v>60</v>
      </c>
      <c r="E75">
        <v>0</v>
      </c>
      <c r="F75">
        <v>0</v>
      </c>
      <c r="G75">
        <v>0</v>
      </c>
      <c r="H75">
        <v>6</v>
      </c>
      <c r="I75">
        <v>0</v>
      </c>
      <c r="J75">
        <v>0</v>
      </c>
      <c r="K75">
        <v>24</v>
      </c>
      <c r="L75">
        <v>20</v>
      </c>
    </row>
    <row r="76" spans="1:12" x14ac:dyDescent="0.25">
      <c r="A76">
        <v>75</v>
      </c>
      <c r="B76">
        <v>975970</v>
      </c>
      <c r="C76">
        <v>214</v>
      </c>
      <c r="D76">
        <v>60</v>
      </c>
      <c r="E76">
        <v>0</v>
      </c>
      <c r="F76">
        <v>0</v>
      </c>
      <c r="G76">
        <v>0</v>
      </c>
      <c r="H76">
        <v>6</v>
      </c>
      <c r="I76">
        <v>0</v>
      </c>
      <c r="J76">
        <v>0</v>
      </c>
      <c r="K76">
        <v>24</v>
      </c>
      <c r="L76">
        <v>20</v>
      </c>
    </row>
    <row r="77" spans="1:12" x14ac:dyDescent="0.25">
      <c r="A77">
        <v>76</v>
      </c>
      <c r="B77">
        <v>943250</v>
      </c>
      <c r="C77">
        <v>206</v>
      </c>
      <c r="D77">
        <v>60</v>
      </c>
      <c r="E77">
        <v>0</v>
      </c>
      <c r="F77">
        <v>0</v>
      </c>
      <c r="G77">
        <v>0</v>
      </c>
      <c r="H77">
        <v>6</v>
      </c>
      <c r="I77">
        <v>0</v>
      </c>
      <c r="J77">
        <v>0</v>
      </c>
      <c r="K77">
        <v>24</v>
      </c>
      <c r="L77">
        <v>20</v>
      </c>
    </row>
    <row r="78" spans="1:12" x14ac:dyDescent="0.25">
      <c r="A78">
        <v>77</v>
      </c>
      <c r="B78">
        <v>909765</v>
      </c>
      <c r="C78">
        <v>198</v>
      </c>
      <c r="D78">
        <v>60</v>
      </c>
      <c r="E78">
        <v>0</v>
      </c>
      <c r="F78">
        <v>0</v>
      </c>
      <c r="G78">
        <v>0</v>
      </c>
      <c r="H78">
        <v>6</v>
      </c>
      <c r="I78">
        <v>0</v>
      </c>
      <c r="J78">
        <v>0</v>
      </c>
      <c r="K78">
        <v>24</v>
      </c>
      <c r="L78">
        <v>20</v>
      </c>
    </row>
    <row r="79" spans="1:12" x14ac:dyDescent="0.25">
      <c r="A79">
        <v>78</v>
      </c>
      <c r="B79">
        <v>875505</v>
      </c>
      <c r="C79">
        <v>189</v>
      </c>
      <c r="D79">
        <v>60</v>
      </c>
      <c r="E79">
        <v>0</v>
      </c>
      <c r="F79">
        <v>0</v>
      </c>
      <c r="G79">
        <v>0</v>
      </c>
      <c r="H79">
        <v>6</v>
      </c>
      <c r="I79">
        <v>0</v>
      </c>
      <c r="J79">
        <v>0</v>
      </c>
      <c r="K79">
        <v>24</v>
      </c>
      <c r="L79">
        <v>20</v>
      </c>
    </row>
    <row r="80" spans="1:12" x14ac:dyDescent="0.25">
      <c r="A80">
        <v>79</v>
      </c>
      <c r="B80">
        <v>840460</v>
      </c>
      <c r="C80">
        <v>181</v>
      </c>
      <c r="D80">
        <v>60</v>
      </c>
      <c r="E80">
        <v>0</v>
      </c>
      <c r="F80">
        <v>0</v>
      </c>
      <c r="G80">
        <v>0</v>
      </c>
      <c r="H80">
        <v>6</v>
      </c>
      <c r="I80">
        <v>0</v>
      </c>
      <c r="J80">
        <v>0</v>
      </c>
      <c r="K80">
        <v>24</v>
      </c>
      <c r="L80">
        <v>20</v>
      </c>
    </row>
    <row r="81" spans="1:12" x14ac:dyDescent="0.25">
      <c r="A81">
        <v>80</v>
      </c>
      <c r="B81">
        <v>804625</v>
      </c>
      <c r="C81">
        <v>172</v>
      </c>
      <c r="D81">
        <v>60</v>
      </c>
      <c r="E81">
        <v>0</v>
      </c>
      <c r="F81">
        <v>0</v>
      </c>
      <c r="G81">
        <v>0</v>
      </c>
      <c r="H81">
        <v>6</v>
      </c>
      <c r="I81">
        <v>0</v>
      </c>
      <c r="J81">
        <v>0</v>
      </c>
      <c r="K81">
        <v>24</v>
      </c>
      <c r="L81">
        <v>20</v>
      </c>
    </row>
    <row r="82" spans="1:12" x14ac:dyDescent="0.25">
      <c r="A82">
        <v>81</v>
      </c>
      <c r="B82">
        <v>647990</v>
      </c>
      <c r="C82">
        <v>162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</row>
    <row r="83" spans="1:12" x14ac:dyDescent="0.25">
      <c r="A83">
        <v>82</v>
      </c>
      <c r="B83">
        <v>604745</v>
      </c>
      <c r="C83">
        <v>152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</row>
    <row r="84" spans="1:12" x14ac:dyDescent="0.25">
      <c r="A84">
        <v>83</v>
      </c>
      <c r="B84">
        <v>556140</v>
      </c>
      <c r="C84">
        <v>140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</row>
    <row r="85" spans="1:12" x14ac:dyDescent="0.25">
      <c r="A85">
        <v>84</v>
      </c>
      <c r="B85">
        <v>501520</v>
      </c>
      <c r="C85">
        <v>126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</row>
    <row r="86" spans="1:12" x14ac:dyDescent="0.25">
      <c r="A86">
        <v>85</v>
      </c>
      <c r="B86">
        <v>440160</v>
      </c>
      <c r="C86">
        <v>111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</row>
    <row r="87" spans="1:12" x14ac:dyDescent="0.25">
      <c r="A87">
        <v>86</v>
      </c>
      <c r="B87">
        <v>371240</v>
      </c>
      <c r="C87">
        <v>93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</row>
    <row r="88" spans="1:12" x14ac:dyDescent="0.25">
      <c r="A88">
        <v>87</v>
      </c>
      <c r="B88">
        <v>293850</v>
      </c>
      <c r="C88">
        <v>74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</row>
    <row r="89" spans="1:12" x14ac:dyDescent="0.25">
      <c r="A89">
        <v>88</v>
      </c>
      <c r="B89">
        <v>206965</v>
      </c>
      <c r="C89">
        <v>52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</row>
    <row r="90" spans="1:12" x14ac:dyDescent="0.25">
      <c r="A90">
        <v>89</v>
      </c>
      <c r="B90">
        <v>109440</v>
      </c>
      <c r="C90">
        <v>28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</row>
    <row r="91" spans="1:12" x14ac:dyDescent="0.25">
      <c r="A91">
        <v>90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BCE7-4981-4AAD-96E1-E84571FAE03D}">
  <sheetPr codeName="Sheet9"/>
  <dimension ref="A1:BB176"/>
  <sheetViews>
    <sheetView workbookViewId="0">
      <selection activeCell="R16" sqref="R16"/>
    </sheetView>
    <sheetView tabSelected="1" topLeftCell="H1" workbookViewId="1">
      <selection activeCell="P5" sqref="P5"/>
    </sheetView>
  </sheetViews>
  <sheetFormatPr defaultColWidth="9.140625" defaultRowHeight="15" x14ac:dyDescent="0.25"/>
  <cols>
    <col min="1" max="1" width="9.42578125" style="2" bestFit="1" customWidth="1"/>
    <col min="2" max="2" width="16.5703125" style="3" customWidth="1"/>
    <col min="3" max="3" width="1.42578125" style="2" customWidth="1"/>
    <col min="4" max="4" width="12.7109375" style="2" bestFit="1" customWidth="1"/>
    <col min="5" max="5" width="16.5703125" style="3" customWidth="1"/>
    <col min="6" max="14" width="9.140625" style="2"/>
    <col min="15" max="15" width="1.42578125" style="2" customWidth="1"/>
    <col min="16" max="16" width="9.42578125" style="2" bestFit="1" customWidth="1"/>
    <col min="17" max="17" width="21.7109375" style="3" customWidth="1"/>
    <col min="18" max="18" width="16.5703125" style="3" customWidth="1"/>
    <col min="19" max="19" width="1.42578125" style="2" customWidth="1"/>
    <col min="20" max="20" width="9.42578125" style="2" bestFit="1" customWidth="1"/>
    <col min="21" max="21" width="14.85546875" style="3" customWidth="1"/>
    <col min="22" max="22" width="16.5703125" style="3" customWidth="1"/>
    <col min="23" max="23" width="1.42578125" style="2" customWidth="1"/>
    <col min="24" max="25" width="13.42578125" style="3" customWidth="1"/>
    <col min="26" max="30" width="11.42578125" style="3" customWidth="1"/>
    <col min="31" max="31" width="1.42578125" style="2" customWidth="1"/>
    <col min="32" max="32" width="9.140625" style="2"/>
    <col min="33" max="33" width="26.5703125" style="3" bestFit="1" customWidth="1"/>
    <col min="34" max="34" width="1.42578125" style="2" customWidth="1"/>
    <col min="35" max="35" width="9.42578125" style="2" bestFit="1" customWidth="1"/>
    <col min="36" max="36" width="16.5703125" style="3" customWidth="1"/>
    <col min="37" max="37" width="1.42578125" style="2" customWidth="1"/>
    <col min="38" max="38" width="9.42578125" style="2" bestFit="1" customWidth="1"/>
    <col min="39" max="39" width="26.140625" style="3" bestFit="1" customWidth="1"/>
    <col min="40" max="40" width="1.42578125" style="2" customWidth="1"/>
    <col min="41" max="41" width="9.42578125" style="2" bestFit="1" customWidth="1"/>
    <col min="42" max="42" width="16.5703125" style="3" customWidth="1"/>
    <col min="43" max="43" width="1.42578125" style="2" customWidth="1"/>
    <col min="44" max="44" width="12.42578125" style="2" customWidth="1"/>
    <col min="45" max="45" width="16.5703125" style="3" customWidth="1"/>
    <col min="46" max="46" width="1.42578125" style="2" customWidth="1"/>
    <col min="47" max="47" width="9.42578125" style="2" bestFit="1" customWidth="1"/>
    <col min="48" max="48" width="16.5703125" style="3" customWidth="1"/>
    <col min="49" max="49" width="1.42578125" style="2" customWidth="1"/>
    <col min="50" max="50" width="9.42578125" style="2" bestFit="1" customWidth="1"/>
    <col min="51" max="51" width="16.5703125" style="3" customWidth="1"/>
    <col min="52" max="52" width="1.42578125" style="2" customWidth="1"/>
    <col min="53" max="53" width="9.42578125" style="2" bestFit="1" customWidth="1"/>
    <col min="54" max="54" width="16.5703125" style="3" customWidth="1"/>
    <col min="55" max="55" width="1.42578125" style="2" customWidth="1"/>
    <col min="56" max="16384" width="9.140625" style="2"/>
  </cols>
  <sheetData>
    <row r="1" spans="1:54" x14ac:dyDescent="0.25">
      <c r="A1" s="186" t="s">
        <v>66</v>
      </c>
      <c r="B1" s="186"/>
      <c r="D1" s="186" t="s">
        <v>67</v>
      </c>
      <c r="E1" s="186"/>
      <c r="P1" s="186" t="s">
        <v>68</v>
      </c>
      <c r="Q1" s="186"/>
      <c r="R1" s="186"/>
      <c r="T1" s="186" t="s">
        <v>69</v>
      </c>
      <c r="U1" s="186"/>
      <c r="V1" s="186"/>
      <c r="X1" s="186"/>
      <c r="Y1" s="186"/>
      <c r="Z1" s="186"/>
      <c r="AA1" s="186"/>
      <c r="AB1" s="186"/>
      <c r="AC1" s="186"/>
      <c r="AD1" s="186"/>
      <c r="AF1" s="186" t="s">
        <v>71</v>
      </c>
      <c r="AG1" s="186"/>
      <c r="AI1" s="186" t="s">
        <v>72</v>
      </c>
      <c r="AJ1" s="186"/>
      <c r="AL1" s="186" t="s">
        <v>73</v>
      </c>
      <c r="AM1" s="186"/>
      <c r="AO1" s="186" t="s">
        <v>74</v>
      </c>
      <c r="AP1" s="186"/>
      <c r="AR1" s="186" t="s">
        <v>75</v>
      </c>
      <c r="AS1" s="186"/>
      <c r="AU1" s="186" t="s">
        <v>76</v>
      </c>
      <c r="AV1" s="186"/>
      <c r="AX1" s="186" t="s">
        <v>77</v>
      </c>
      <c r="AY1" s="186"/>
      <c r="BA1" s="186" t="s">
        <v>78</v>
      </c>
      <c r="BB1" s="186"/>
    </row>
    <row r="2" spans="1:54" x14ac:dyDescent="0.25">
      <c r="A2" s="2" t="s">
        <v>79</v>
      </c>
      <c r="B2" s="3" t="s">
        <v>24</v>
      </c>
      <c r="D2" s="10" t="s">
        <v>79</v>
      </c>
      <c r="E2" s="25" t="s">
        <v>24</v>
      </c>
      <c r="F2" s="11" t="s">
        <v>80</v>
      </c>
      <c r="G2" s="11" t="s">
        <v>29</v>
      </c>
      <c r="H2" s="11" t="s">
        <v>7</v>
      </c>
      <c r="I2" s="11" t="s">
        <v>0</v>
      </c>
      <c r="J2" s="11" t="s">
        <v>4</v>
      </c>
      <c r="K2" s="11" t="s">
        <v>81</v>
      </c>
      <c r="L2" s="11" t="s">
        <v>82</v>
      </c>
      <c r="M2" s="11" t="s">
        <v>52</v>
      </c>
      <c r="N2" s="12" t="s">
        <v>73</v>
      </c>
      <c r="P2" s="2" t="s">
        <v>79</v>
      </c>
      <c r="Q2" s="3" t="s">
        <v>83</v>
      </c>
      <c r="R2" s="3" t="s">
        <v>24</v>
      </c>
      <c r="T2" s="2" t="s">
        <v>79</v>
      </c>
      <c r="U2" s="3" t="s">
        <v>83</v>
      </c>
      <c r="V2" s="3" t="s">
        <v>24</v>
      </c>
      <c r="X2" s="3" t="s">
        <v>84</v>
      </c>
      <c r="Y2" s="3" t="s">
        <v>938</v>
      </c>
      <c r="Z2" s="3" t="s">
        <v>935</v>
      </c>
      <c r="AA2" s="3" t="s">
        <v>939</v>
      </c>
      <c r="AB2" s="3" t="s">
        <v>936</v>
      </c>
      <c r="AC2" s="3" t="s">
        <v>940</v>
      </c>
      <c r="AD2" s="3" t="s">
        <v>937</v>
      </c>
      <c r="AF2" s="2" t="s">
        <v>79</v>
      </c>
      <c r="AG2" s="3" t="s">
        <v>24</v>
      </c>
      <c r="AI2" s="2" t="s">
        <v>79</v>
      </c>
      <c r="AJ2" s="3" t="s">
        <v>24</v>
      </c>
      <c r="AL2" s="2" t="s">
        <v>79</v>
      </c>
      <c r="AM2" s="3" t="s">
        <v>24</v>
      </c>
      <c r="AO2" s="2" t="s">
        <v>79</v>
      </c>
      <c r="AP2" s="3" t="s">
        <v>24</v>
      </c>
      <c r="AR2" s="2" t="s">
        <v>79</v>
      </c>
      <c r="AS2" s="3" t="s">
        <v>24</v>
      </c>
      <c r="AU2" s="2" t="s">
        <v>79</v>
      </c>
      <c r="AV2" s="3" t="s">
        <v>24</v>
      </c>
      <c r="AX2" s="2" t="s">
        <v>79</v>
      </c>
      <c r="AY2" s="3" t="s">
        <v>24</v>
      </c>
      <c r="BA2" s="2" t="s">
        <v>79</v>
      </c>
      <c r="BB2" s="3" t="s">
        <v>24</v>
      </c>
    </row>
    <row r="3" spans="1:54" ht="30" customHeight="1" x14ac:dyDescent="0.25">
      <c r="A3" s="2" t="e" vm="3">
        <f>_xlfn.IMAGE(_xlfn.CONCAT("https://raw.githubusercontent.com/ItsCryp7iC/Genshin-Image-Hosting/main/Experience/",ExperienceImg[[#This Row],[Name]],".png"),ExperienceImg[[#This Row],[Name]])</f>
        <v>#VALUE!</v>
      </c>
      <c r="B3" s="3" t="s">
        <v>85</v>
      </c>
      <c r="D3" s="21" t="e" vm="4">
        <f>_xlfn.IMAGE(_xlfn.CONCAT("https://raw.githubusercontent.com/ItsCryp7iC/Genshin-Image-Hosting/main/Characters/",CharacterDetailsImg[[#This Row],[Name]],".png"),CharacterDetailsImg[[#This Row],[Name]])</f>
        <v>#VALUE!</v>
      </c>
      <c r="E3" s="16" t="s">
        <v>86</v>
      </c>
      <c r="F3" s="16" t="e" vm="5">
        <f>$AR$3</f>
        <v>#VALUE!</v>
      </c>
      <c r="G3" s="16" t="e" vm="6">
        <f>$AU$4</f>
        <v>#VALUE!</v>
      </c>
      <c r="H3" s="23">
        <v>1.2</v>
      </c>
      <c r="I3" s="16" t="e" vm="7">
        <f>$P$6</f>
        <v>#VALUE!</v>
      </c>
      <c r="J3" s="16" t="e" vm="8">
        <f>$T$11</f>
        <v>#VALUE!</v>
      </c>
      <c r="K3" s="16" t="e" vm="9">
        <f>$AF$5</f>
        <v>#VALUE!</v>
      </c>
      <c r="L3" s="16" t="e" vm="10">
        <f>$Z$5</f>
        <v>#VALUE!</v>
      </c>
      <c r="M3" s="16" t="e" vm="11">
        <f>$AI$6</f>
        <v>#VALUE!</v>
      </c>
      <c r="N3" s="22" t="e" vm="12">
        <f>IF(OR(
E3="TravelerAnemo",
E3="TravelerGeo",
E3="TravelerElectro",
E3="TravelerDendro",
E3="TravelerHydro",
E3="TravelerPyro",
E3="TravelerCryo"),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P3" s="2" t="e" vm="13">
        <f>_xlfn.IMAGE(_xlfn.CONCAT("https://raw.githubusercontent.com/ItsCryp7iC/Genshin-Image-Hosting/main/WorldBoss/",WorldBossImg[[#This Row],[Name]],".png"),WorldBossImg[[#This Row],[Name]])</f>
        <v>#VALUE!</v>
      </c>
      <c r="Q3" s="3" t="s">
        <v>87</v>
      </c>
      <c r="R3" s="3" t="s">
        <v>88</v>
      </c>
      <c r="T3" s="2" t="e" vm="14">
        <f>_xlfn.IMAGE(_xlfn.CONCAT("https://raw.githubusercontent.com/ItsCryp7iC/Genshin-Image-Hosting/main/WeeklyBoss/",WeeklyBossImg[[#This Row],[Name]],".png"),WeeklyBossImg[[#This Row],[Name]])</f>
        <v>#VALUE!</v>
      </c>
      <c r="U3" s="3" t="s">
        <v>89</v>
      </c>
      <c r="V3" s="3" t="s">
        <v>90</v>
      </c>
      <c r="X3" s="3" t="s">
        <v>91</v>
      </c>
      <c r="Y3" s="3" t="s">
        <v>118</v>
      </c>
      <c r="Z3" s="2" t="e" vm="15">
        <f>_xlfn.IMAGE(_xlfn.CONCAT("https://raw.githubusercontent.com/ItsCryp7iC/Genshin-Image-Hosting/main/MonsterDrops/3Star/",MonsterMaterialsImg[[#This Row],[3*Name]],".png"),MonsterMaterialsImg[[#This Row],[3*Name]])</f>
        <v>#VALUE!</v>
      </c>
      <c r="AA3" s="3" t="s">
        <v>104</v>
      </c>
      <c r="AB3" s="3" t="e" vm="16">
        <f>_xlfn.IMAGE(_xlfn.CONCAT("https://raw.githubusercontent.com/ItsCryp7iC/Genshin-Image-Hosting/main/MonsterDrops/2Star/",MonsterMaterialsImg[[#This Row],[2*Name]],".png"),MonsterMaterialsImg[[#This Row],[2*Name]])</f>
        <v>#VALUE!</v>
      </c>
      <c r="AC3" s="3" t="s">
        <v>92</v>
      </c>
      <c r="AD3" s="3" t="e" vm="17">
        <f>_xlfn.IMAGE(_xlfn.CONCAT("https://raw.githubusercontent.com/ItsCryp7iC/Genshin-Image-Hosting/main/MonsterDrops/1Star/",MonsterMaterialsImg[[#This Row],[1*Name]],".png"),MonsterMaterialsImg[[#This Row],[1*Name]])</f>
        <v>#VALUE!</v>
      </c>
      <c r="AF3" s="2" t="e" vm="18">
        <f>_xlfn.IMAGE(_xlfn.CONCAT("https://raw.githubusercontent.com/ItsCryp7iC/Genshin-Image-Hosting/main/TalentBooks/",TalentBooksImg[[#This Row],[Name]],".png"),TalentBooksImg[[#This Row],[Name]])</f>
        <v>#VALUE!</v>
      </c>
      <c r="AG3" s="3" t="s">
        <v>93</v>
      </c>
      <c r="AI3" s="2" t="e" vm="19">
        <f>_xlfn.IMAGE(_xlfn.CONCAT("https://raw.githubusercontent.com/ItsCryp7iC/Genshin-Image-Hosting/main/LocalSpecialties/",LocalSpecialtiesImg[[#This Row],[Name]],".png"),LocalSpecialtiesImg[[#This Row],[Name]])</f>
        <v>#VALUE!</v>
      </c>
      <c r="AJ3" s="3" t="s">
        <v>94</v>
      </c>
      <c r="AL3" s="2" t="e" vm="20">
        <f>_xlfn.IMAGE(_xlfn.CONCAT("https://raw.githubusercontent.com/ItsCryp7iC/Genshin-Image-Hosting/main/Gems/",GemsImg[[#This Row],[Name]],".png"),GemsImg[[#This Row],[Name]])</f>
        <v>#VALUE!</v>
      </c>
      <c r="AM3" s="3" t="s">
        <v>897</v>
      </c>
      <c r="AO3" s="2" t="e" vm="21">
        <f>_xlfn.IMAGE(_xlfn.CONCAT("https://raw.githubusercontent.com/ItsCryp7iC/Genshin-Image-Hosting/main/Misc/",MiscImg[[#This Row],[Name]],".png"),MiscImg[[#This Row],[Name]])</f>
        <v>#VALUE!</v>
      </c>
      <c r="AP3" s="3" t="s">
        <v>50</v>
      </c>
      <c r="AR3" s="2" t="e" vm="22">
        <f>_xlfn.IMAGE(_xlfn.CONCAT("https://raw.githubusercontent.com/ItsCryp7iC/Genshin-Image-Hosting/main/Billets/",BilletImg[[#This Row],[Name]],".png"),BilletImg[[#This Row],[Name]])</f>
        <v>#VALUE!</v>
      </c>
      <c r="AS3" s="3" t="s">
        <v>95</v>
      </c>
      <c r="AU3" s="2" t="e" vm="23">
        <f>_xlfn.IMAGE(_xlfn.CONCAT("https://raw.githubusercontent.com/ItsCryp7iC/Genshin-Image-Hosting/main/Elements/",ElementsImg[[#This Row],[Name]],".png"),ElementsImg[[#This Row],[Name]])</f>
        <v>#VALUE!</v>
      </c>
      <c r="AV3" s="3" t="s">
        <v>96</v>
      </c>
      <c r="AX3" s="2" t="e" vm="24">
        <f>_xlfn.IMAGE(_xlfn.CONCAT("https://raw.githubusercontent.com/ItsCryp7iC/Genshin-Image-Hosting/main/Weapons/",WeaponsImg[[#This Row],[Name]],".png"),WeaponsImg[[#This Row],[Name]])</f>
        <v>#VALUE!</v>
      </c>
      <c r="AY3" s="3" t="s">
        <v>97</v>
      </c>
      <c r="BA3" s="2" t="e" vm="25">
        <f>_xlfn.IMAGE(_xlfn.CONCAT("https://raw.githubusercontent.com/ItsCryp7iC/Genshin-Image-Hosting/main/WeaponMaterials/",WeaponMaterialsImg[[#This Row],[Name]],".png"),WeaponMaterialsImg[[#This Row],[Name]])</f>
        <v>#VALUE!</v>
      </c>
      <c r="BB3" s="3" t="s">
        <v>98</v>
      </c>
    </row>
    <row r="4" spans="1:54" ht="30" customHeight="1" x14ac:dyDescent="0.25">
      <c r="A4" s="2" t="e" vm="26">
        <f>_xlfn.IMAGE(_xlfn.CONCAT("https://raw.githubusercontent.com/ItsCryp7iC/Genshin-Image-Hosting/main/Experience/",ExperienceImg[[#This Row],[Name]],".png"),ExperienceImg[[#This Row],[Name]])</f>
        <v>#VALUE!</v>
      </c>
      <c r="B4" s="3" t="s">
        <v>99</v>
      </c>
      <c r="D4" s="5" t="e" vm="27">
        <f>_xlfn.IMAGE(_xlfn.CONCAT("https://raw.githubusercontent.com/ItsCryp7iC/Genshin-Image-Hosting/main/Characters/",CharacterDetailsImg[[#This Row],[Name]],".png"),CharacterDetailsImg[[#This Row],[Name]])</f>
        <v>#VALUE!</v>
      </c>
      <c r="E4" s="2" t="s">
        <v>100</v>
      </c>
      <c r="F4" s="2" t="e" vm="5">
        <f>$AR$3</f>
        <v>#VALUE!</v>
      </c>
      <c r="G4" s="2" t="e" vm="28">
        <f>$AU$6</f>
        <v>#VALUE!</v>
      </c>
      <c r="H4" s="18">
        <v>3.4</v>
      </c>
      <c r="I4" s="2" t="e" vm="29">
        <f>$P$24</f>
        <v>#VALUE!</v>
      </c>
      <c r="J4" s="2" t="e" vm="30">
        <f>$T$23</f>
        <v>#VALUE!</v>
      </c>
      <c r="K4" s="2" t="e" vm="31">
        <f>$AF$32</f>
        <v>#VALUE!</v>
      </c>
      <c r="L4" s="2" t="e" vm="32">
        <f>$Z$13</f>
        <v>#VALUE!</v>
      </c>
      <c r="M4" s="2" t="e" vm="33">
        <f>$AI$32</f>
        <v>#VALUE!</v>
      </c>
      <c r="N4" s="6" t="e" vm="34">
        <f>IF(OR(
E4="TravelerAnemo",
E4="TravelerGeo",
E4="TravelerElectro",
E4="TravelerDendro",
E4="TravelerHydro",
E4="TravelerPyro",
E4="TravelerCryo"),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P4" s="2" t="e" vm="35">
        <f>_xlfn.IMAGE(_xlfn.CONCAT("https://raw.githubusercontent.com/ItsCryp7iC/Genshin-Image-Hosting/main/WorldBoss/",WorldBossImg[[#This Row],[Name]],".png"),WorldBossImg[[#This Row],[Name]])</f>
        <v>#VALUE!</v>
      </c>
      <c r="Q4" s="3" t="s">
        <v>101</v>
      </c>
      <c r="R4" s="3" t="s">
        <v>102</v>
      </c>
      <c r="T4" s="2" t="e" vm="36">
        <f>_xlfn.IMAGE(_xlfn.CONCAT("https://raw.githubusercontent.com/ItsCryp7iC/Genshin-Image-Hosting/main/WeeklyBoss/",WeeklyBossImg[[#This Row],[Name]],".png"),WeeklyBossImg[[#This Row],[Name]])</f>
        <v>#VALUE!</v>
      </c>
      <c r="U4" s="3" t="s">
        <v>89</v>
      </c>
      <c r="V4" s="3" t="s">
        <v>103</v>
      </c>
      <c r="X4" s="3" t="s">
        <v>133</v>
      </c>
      <c r="Y4" s="3" t="s">
        <v>159</v>
      </c>
      <c r="Z4" s="2" t="e" vm="37">
        <f>_xlfn.IMAGE(_xlfn.CONCAT("https://raw.githubusercontent.com/ItsCryp7iC/Genshin-Image-Hosting/main/MonsterDrops/3Star/",MonsterMaterialsImg[[#This Row],[3*Name]],".png"),MonsterMaterialsImg[[#This Row],[3*Name]])</f>
        <v>#VALUE!</v>
      </c>
      <c r="AA4" s="3" t="s">
        <v>147</v>
      </c>
      <c r="AB4" s="3" t="e" vm="38">
        <f>_xlfn.IMAGE(_xlfn.CONCAT("https://raw.githubusercontent.com/ItsCryp7iC/Genshin-Image-Hosting/main/MonsterDrops/2Star/",MonsterMaterialsImg[[#This Row],[2*Name]],".png"),MonsterMaterialsImg[[#This Row],[2*Name]])</f>
        <v>#VALUE!</v>
      </c>
      <c r="AC4" s="3" t="s">
        <v>134</v>
      </c>
      <c r="AD4" s="3" t="e" vm="39">
        <f>_xlfn.IMAGE(_xlfn.CONCAT("https://raw.githubusercontent.com/ItsCryp7iC/Genshin-Image-Hosting/main/MonsterDrops/1Star/",MonsterMaterialsImg[[#This Row],[1*Name]],".png"),MonsterMaterialsImg[[#This Row],[1*Name]])</f>
        <v>#VALUE!</v>
      </c>
      <c r="AF4" s="2" t="e" vm="40">
        <f>_xlfn.IMAGE(_xlfn.CONCAT("https://raw.githubusercontent.com/ItsCryp7iC/Genshin-Image-Hosting/main/TalentBooks/",TalentBooksImg[[#This Row],[Name]],".png"),TalentBooksImg[[#This Row],[Name]])</f>
        <v>#VALUE!</v>
      </c>
      <c r="AG4" s="3" t="s">
        <v>105</v>
      </c>
      <c r="AI4" s="2" t="e" vm="41">
        <f>_xlfn.IMAGE(_xlfn.CONCAT("https://raw.githubusercontent.com/ItsCryp7iC/Genshin-Image-Hosting/main/LocalSpecialties/",LocalSpecialtiesImg[[#This Row],[Name]],".png"),LocalSpecialtiesImg[[#This Row],[Name]])</f>
        <v>#VALUE!</v>
      </c>
      <c r="AJ4" s="3" t="s">
        <v>106</v>
      </c>
      <c r="AL4" s="2" t="e" vm="42">
        <f>_xlfn.IMAGE(_xlfn.CONCAT("https://raw.githubusercontent.com/ItsCryp7iC/Genshin-Image-Hosting/main/Gems/",GemsImg[[#This Row],[Name]],".png"),GemsImg[[#This Row],[Name]])</f>
        <v>#VALUE!</v>
      </c>
      <c r="AM4" s="3" t="s">
        <v>107</v>
      </c>
      <c r="AO4" s="2" t="e" vm="43">
        <f>_xlfn.IMAGE(_xlfn.CONCAT("https://raw.githubusercontent.com/ItsCryp7iC/Genshin-Image-Hosting/main/Misc/",MiscImg[[#This Row],[Name]],".png"),MiscImg[[#This Row],[Name]])</f>
        <v>#VALUE!</v>
      </c>
      <c r="AP4" s="3" t="s">
        <v>108</v>
      </c>
      <c r="AR4" s="2" t="e" vm="44">
        <f>_xlfn.IMAGE(_xlfn.CONCAT("https://raw.githubusercontent.com/ItsCryp7iC/Genshin-Image-Hosting/main/Billets/",BilletImg[[#This Row],[Name]],".png"),BilletImg[[#This Row],[Name]])</f>
        <v>#VALUE!</v>
      </c>
      <c r="AS4" s="3" t="s">
        <v>109</v>
      </c>
      <c r="AU4" s="2" t="e" vm="45">
        <f>_xlfn.IMAGE(_xlfn.CONCAT("https://raw.githubusercontent.com/ItsCryp7iC/Genshin-Image-Hosting/main/Elements/",ElementsImg[[#This Row],[Name]],".png"),ElementsImg[[#This Row],[Name]])</f>
        <v>#VALUE!</v>
      </c>
      <c r="AV4" s="3" t="s">
        <v>110</v>
      </c>
      <c r="AX4" s="2" t="e" vm="46">
        <f>_xlfn.IMAGE(_xlfn.CONCAT("https://raw.githubusercontent.com/ItsCryp7iC/Genshin-Image-Hosting/main/Weapons/",WeaponsImg[[#This Row],[Name]],".png"),WeaponsImg[[#This Row],[Name]])</f>
        <v>#VALUE!</v>
      </c>
      <c r="AY4" s="3" t="s">
        <v>111</v>
      </c>
      <c r="BA4" s="2" t="e" vm="47">
        <f>_xlfn.IMAGE(_xlfn.CONCAT("https://raw.githubusercontent.com/ItsCryp7iC/Genshin-Image-Hosting/main/WeaponMaterials/",WeaponMaterialsImg[[#This Row],[Name]],".png"),WeaponMaterialsImg[[#This Row],[Name]])</f>
        <v>#VALUE!</v>
      </c>
      <c r="BB4" s="3" t="s">
        <v>112</v>
      </c>
    </row>
    <row r="5" spans="1:54" ht="30" customHeight="1" x14ac:dyDescent="0.25">
      <c r="A5" s="2" t="e" vm="48">
        <f>_xlfn.IMAGE(_xlfn.CONCAT("https://raw.githubusercontent.com/ItsCryp7iC/Genshin-Image-Hosting/main/Experience/",ExperienceImg[[#This Row],[Name]],".png"),ExperienceImg[[#This Row],[Name]])</f>
        <v>#VALUE!</v>
      </c>
      <c r="B5" s="3" t="s">
        <v>113</v>
      </c>
      <c r="D5" s="5" t="e" vm="49">
        <f>_xlfn.IMAGE(_xlfn.CONCAT("https://raw.githubusercontent.com/ItsCryp7iC/Genshin-Image-Hosting/main/Characters/",CharacterDetailsImg[[#This Row],[Name]],".png"),CharacterDetailsImg[[#This Row],[Name]])</f>
        <v>#VALUE!</v>
      </c>
      <c r="E5" s="2" t="s">
        <v>114</v>
      </c>
      <c r="F5" s="2" t="e" vm="5">
        <f>$AR$3</f>
        <v>#VALUE!</v>
      </c>
      <c r="G5" s="2" t="e" vm="50">
        <f>$AU$8</f>
        <v>#VALUE!</v>
      </c>
      <c r="H5" s="18">
        <v>1</v>
      </c>
      <c r="I5" s="2" t="e" vm="51">
        <f>$P$8</f>
        <v>#VALUE!</v>
      </c>
      <c r="J5" s="2" t="e" vm="52">
        <f>$T$3</f>
        <v>#VALUE!</v>
      </c>
      <c r="K5" s="2" t="e" vm="53">
        <f>$AF$8</f>
        <v>#VALUE!</v>
      </c>
      <c r="L5" s="2" t="e" vm="54">
        <f>$Z$7</f>
        <v>#VALUE!</v>
      </c>
      <c r="M5" s="2" t="e" vm="55">
        <f>$AI$44</f>
        <v>#VALUE!</v>
      </c>
      <c r="N5" s="6" t="e" vm="56">
        <f>IF(OR(
E5="TravelerAnemo",
E5="TravelerGeo",
E5="TravelerElectro",
E5="TravelerDendro",
E5="TravelerHydro",
E5="TravelerPyro",
E5="TravelerCryo"),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P5" s="2" t="e" vm="57">
        <f>_xlfn.IMAGE(_xlfn.CONCAT("https://raw.githubusercontent.com/ItsCryp7iC/Genshin-Image-Hosting/main/WorldBoss/",WorldBossImg[[#This Row],[Name]],".png"),WorldBossImg[[#This Row],[Name]])</f>
        <v>#VALUE!</v>
      </c>
      <c r="Q5" s="3" t="s">
        <v>115</v>
      </c>
      <c r="R5" s="3" t="s">
        <v>116</v>
      </c>
      <c r="T5" s="2" t="e" vm="58">
        <f>_xlfn.IMAGE(_xlfn.CONCAT("https://raw.githubusercontent.com/ItsCryp7iC/Genshin-Image-Hosting/main/WeeklyBoss/",WeeklyBossImg[[#This Row],[Name]],".png"),WeeklyBossImg[[#This Row],[Name]])</f>
        <v>#VALUE!</v>
      </c>
      <c r="U5" s="3" t="s">
        <v>89</v>
      </c>
      <c r="V5" s="3" t="s">
        <v>117</v>
      </c>
      <c r="X5" s="3" t="s">
        <v>172</v>
      </c>
      <c r="Y5" s="3" t="s">
        <v>195</v>
      </c>
      <c r="Z5" s="2" t="e" vm="59">
        <f>_xlfn.IMAGE(_xlfn.CONCAT("https://raw.githubusercontent.com/ItsCryp7iC/Genshin-Image-Hosting/main/MonsterDrops/3Star/",MonsterMaterialsImg[[#This Row],[3*Name]],".png"),MonsterMaterialsImg[[#This Row],[3*Name]])</f>
        <v>#VALUE!</v>
      </c>
      <c r="AA5" s="3" t="s">
        <v>185</v>
      </c>
      <c r="AB5" s="3" t="e" vm="60">
        <f>_xlfn.IMAGE(_xlfn.CONCAT("https://raw.githubusercontent.com/ItsCryp7iC/Genshin-Image-Hosting/main/MonsterDrops/2Star/",MonsterMaterialsImg[[#This Row],[2*Name]],".png"),MonsterMaterialsImg[[#This Row],[2*Name]])</f>
        <v>#VALUE!</v>
      </c>
      <c r="AC5" s="3" t="s">
        <v>173</v>
      </c>
      <c r="AD5" s="3" t="e" vm="61">
        <f>_xlfn.IMAGE(_xlfn.CONCAT("https://raw.githubusercontent.com/ItsCryp7iC/Genshin-Image-Hosting/main/MonsterDrops/1Star/",MonsterMaterialsImg[[#This Row],[1*Name]],".png"),MonsterMaterialsImg[[#This Row],[1*Name]])</f>
        <v>#VALUE!</v>
      </c>
      <c r="AF5" s="2" t="e" vm="62">
        <f>_xlfn.IMAGE(_xlfn.CONCAT("https://raw.githubusercontent.com/ItsCryp7iC/Genshin-Image-Hosting/main/TalentBooks/",TalentBooksImg[[#This Row],[Name]],".png"),TalentBooksImg[[#This Row],[Name]])</f>
        <v>#VALUE!</v>
      </c>
      <c r="AG5" s="3" t="s">
        <v>119</v>
      </c>
      <c r="AI5" s="2" t="e" vm="63">
        <f>_xlfn.IMAGE(_xlfn.CONCAT("https://raw.githubusercontent.com/ItsCryp7iC/Genshin-Image-Hosting/main/LocalSpecialties/",LocalSpecialtiesImg[[#This Row],[Name]],".png"),LocalSpecialtiesImg[[#This Row],[Name]])</f>
        <v>#VALUE!</v>
      </c>
      <c r="AJ5" s="3" t="s">
        <v>120</v>
      </c>
      <c r="AL5" s="2" t="e" vm="64">
        <f>_xlfn.IMAGE(_xlfn.CONCAT("https://raw.githubusercontent.com/ItsCryp7iC/Genshin-Image-Hosting/main/Gems/",GemsImg[[#This Row],[Name]],".png"),GemsImg[[#This Row],[Name]])</f>
        <v>#VALUE!</v>
      </c>
      <c r="AM5" s="3" t="s">
        <v>121</v>
      </c>
      <c r="AO5" s="2" t="e" vm="65">
        <f>_xlfn.IMAGE(_xlfn.CONCAT("https://raw.githubusercontent.com/ItsCryp7iC/Genshin-Image-Hosting/main/Misc/",MiscImg[[#This Row],[Name]],".png"),MiscImg[[#This Row],[Name]])</f>
        <v>#VALUE!</v>
      </c>
      <c r="AP5" s="3" t="s">
        <v>122</v>
      </c>
      <c r="AR5" s="2" t="e" vm="66">
        <f>_xlfn.IMAGE(_xlfn.CONCAT("https://raw.githubusercontent.com/ItsCryp7iC/Genshin-Image-Hosting/main/Billets/",BilletImg[[#This Row],[Name]],".png"),BilletImg[[#This Row],[Name]])</f>
        <v>#VALUE!</v>
      </c>
      <c r="AS5" s="3" t="s">
        <v>123</v>
      </c>
      <c r="AU5" s="2" t="e" vm="67">
        <f>_xlfn.IMAGE(_xlfn.CONCAT("https://raw.githubusercontent.com/ItsCryp7iC/Genshin-Image-Hosting/main/Elements/",ElementsImg[[#This Row],[Name]],".png"),ElementsImg[[#This Row],[Name]])</f>
        <v>#VALUE!</v>
      </c>
      <c r="AV5" s="3" t="s">
        <v>124</v>
      </c>
      <c r="AX5" s="2" t="e" vm="68">
        <f>_xlfn.IMAGE(_xlfn.CONCAT("https://raw.githubusercontent.com/ItsCryp7iC/Genshin-Image-Hosting/main/Weapons/",WeaponsImg[[#This Row],[Name]],".png"),WeaponsImg[[#This Row],[Name]])</f>
        <v>#VALUE!</v>
      </c>
      <c r="AY5" s="3" t="s">
        <v>125</v>
      </c>
      <c r="BA5" s="2" t="e" vm="69">
        <f>_xlfn.IMAGE(_xlfn.CONCAT("https://raw.githubusercontent.com/ItsCryp7iC/Genshin-Image-Hosting/main/WeaponMaterials/",WeaponMaterialsImg[[#This Row],[Name]],".png"),WeaponMaterialsImg[[#This Row],[Name]])</f>
        <v>#VALUE!</v>
      </c>
      <c r="BB5" s="3" t="s">
        <v>126</v>
      </c>
    </row>
    <row r="6" spans="1:54" ht="30" customHeight="1" x14ac:dyDescent="0.25">
      <c r="A6" s="2" t="e" vm="70">
        <f>_xlfn.IMAGE(_xlfn.CONCAT("https://raw.githubusercontent.com/ItsCryp7iC/Genshin-Image-Hosting/main/Experience/",ExperienceImg[[#This Row],[Name]],".png"),ExperienceImg[[#This Row],[Name]])</f>
        <v>#VALUE!</v>
      </c>
      <c r="B6" s="3" t="s">
        <v>127</v>
      </c>
      <c r="D6" s="5" t="e" vm="71">
        <f>_xlfn.IMAGE(_xlfn.CONCAT("https://raw.githubusercontent.com/ItsCryp7iC/Genshin-Image-Hosting/main/Characters/",CharacterDetailsImg[[#This Row],[Name]],".png"),CharacterDetailsImg[[#This Row],[Name]])</f>
        <v>#VALUE!</v>
      </c>
      <c r="E6" s="2" t="s">
        <v>128</v>
      </c>
      <c r="F6" s="2" t="e" vm="5">
        <f>$AR$3</f>
        <v>#VALUE!</v>
      </c>
      <c r="G6" s="2" t="e" vm="6">
        <f>$AU$4</f>
        <v>#VALUE!</v>
      </c>
      <c r="H6" s="18">
        <v>4.5</v>
      </c>
      <c r="I6" s="2" t="e" vm="72">
        <f>$P$26</f>
        <v>#VALUE!</v>
      </c>
      <c r="J6" s="2" t="e" vm="73">
        <f>$T$27</f>
        <v>#VALUE!</v>
      </c>
      <c r="K6" s="2" t="e" vm="74">
        <f>$AF$26</f>
        <v>#VALUE!</v>
      </c>
      <c r="L6" s="2" t="e" vm="75">
        <f>$Z$11</f>
        <v>#VALUE!</v>
      </c>
      <c r="M6" s="2" t="e" vm="76">
        <f>$AI$14</f>
        <v>#VALUE!</v>
      </c>
      <c r="N6" s="6" t="e" vm="12">
        <f>IF(OR(
E6="TravelerAnemo",
E6="TravelerGeo",
E6="TravelerElectro",
E6="TravelerDendro",
E6="TravelerHydro",
E6="TravelerPyro",
E6="TravelerCryo"),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P6" s="2" t="e" vm="77">
        <f>_xlfn.IMAGE(_xlfn.CONCAT("https://raw.githubusercontent.com/ItsCryp7iC/Genshin-Image-Hosting/main/WorldBoss/",WorldBossImg[[#This Row],[Name]],".png"),WorldBossImg[[#This Row],[Name]])</f>
        <v>#VALUE!</v>
      </c>
      <c r="Q6" s="3" t="s">
        <v>129</v>
      </c>
      <c r="R6" s="3" t="s">
        <v>130</v>
      </c>
      <c r="T6" s="2" t="e" vm="78">
        <f>_xlfn.IMAGE(_xlfn.CONCAT("https://raw.githubusercontent.com/ItsCryp7iC/Genshin-Image-Hosting/main/WeeklyBoss/",WeeklyBossImg[[#This Row],[Name]],".png"),WeeklyBossImg[[#This Row],[Name]])</f>
        <v>#VALUE!</v>
      </c>
      <c r="U6" s="3" t="s">
        <v>131</v>
      </c>
      <c r="V6" s="3" t="s">
        <v>132</v>
      </c>
      <c r="X6" s="3" t="s">
        <v>205</v>
      </c>
      <c r="Y6" s="3" t="s">
        <v>226</v>
      </c>
      <c r="Z6" s="2" t="e" vm="79">
        <f>_xlfn.IMAGE(_xlfn.CONCAT("https://raw.githubusercontent.com/ItsCryp7iC/Genshin-Image-Hosting/main/MonsterDrops/3Star/",MonsterMaterialsImg[[#This Row],[3*Name]],".png"),MonsterMaterialsImg[[#This Row],[3*Name]])</f>
        <v>#VALUE!</v>
      </c>
      <c r="AA6" s="3" t="s">
        <v>216</v>
      </c>
      <c r="AB6" s="3" t="e" vm="80">
        <f>_xlfn.IMAGE(_xlfn.CONCAT("https://raw.githubusercontent.com/ItsCryp7iC/Genshin-Image-Hosting/main/MonsterDrops/2Star/",MonsterMaterialsImg[[#This Row],[2*Name]],".png"),MonsterMaterialsImg[[#This Row],[2*Name]])</f>
        <v>#VALUE!</v>
      </c>
      <c r="AC6" s="3" t="s">
        <v>206</v>
      </c>
      <c r="AD6" s="3" t="e" vm="81">
        <f>_xlfn.IMAGE(_xlfn.CONCAT("https://raw.githubusercontent.com/ItsCryp7iC/Genshin-Image-Hosting/main/MonsterDrops/1Star/",MonsterMaterialsImg[[#This Row],[1*Name]],".png"),MonsterMaterialsImg[[#This Row],[1*Name]])</f>
        <v>#VALUE!</v>
      </c>
      <c r="AF6" s="2" t="e" vm="82">
        <f>_xlfn.IMAGE(_xlfn.CONCAT("https://raw.githubusercontent.com/ItsCryp7iC/Genshin-Image-Hosting/main/TalentBooks/",TalentBooksImg[[#This Row],[Name]],".png"),TalentBooksImg[[#This Row],[Name]])</f>
        <v>#VALUE!</v>
      </c>
      <c r="AG6" s="3" t="s">
        <v>135</v>
      </c>
      <c r="AI6" s="2" t="e" vm="83">
        <f>_xlfn.IMAGE(_xlfn.CONCAT("https://raw.githubusercontent.com/ItsCryp7iC/Genshin-Image-Hosting/main/LocalSpecialties/",LocalSpecialtiesImg[[#This Row],[Name]],".png"),LocalSpecialtiesImg[[#This Row],[Name]])</f>
        <v>#VALUE!</v>
      </c>
      <c r="AJ6" s="3" t="s">
        <v>136</v>
      </c>
      <c r="AL6" s="2" t="e" vm="84">
        <f>_xlfn.IMAGE(_xlfn.CONCAT("https://raw.githubusercontent.com/ItsCryp7iC/Genshin-Image-Hosting/main/Gems/",GemsImg[[#This Row],[Name]],".png"),GemsImg[[#This Row],[Name]])</f>
        <v>#VALUE!</v>
      </c>
      <c r="AM6" s="3" t="s">
        <v>137</v>
      </c>
      <c r="AO6" s="2" t="e" vm="85">
        <f>_xlfn.IMAGE(_xlfn.CONCAT("https://raw.githubusercontent.com/ItsCryp7iC/Genshin-Image-Hosting/main/Misc/",MiscImg[[#This Row],[Name]],".png"),MiscImg[[#This Row],[Name]])</f>
        <v>#VALUE!</v>
      </c>
      <c r="AP6" s="3" t="s">
        <v>138</v>
      </c>
      <c r="AR6" s="2" t="e" vm="86">
        <f>_xlfn.IMAGE(_xlfn.CONCAT("https://raw.githubusercontent.com/ItsCryp7iC/Genshin-Image-Hosting/main/Billets/",BilletImg[[#This Row],[Name]],".png"),BilletImg[[#This Row],[Name]])</f>
        <v>#VALUE!</v>
      </c>
      <c r="AS6" s="3" t="s">
        <v>139</v>
      </c>
      <c r="AU6" s="2" t="e" vm="87">
        <f>_xlfn.IMAGE(_xlfn.CONCAT("https://raw.githubusercontent.com/ItsCryp7iC/Genshin-Image-Hosting/main/Elements/",ElementsImg[[#This Row],[Name]],".png"),ElementsImg[[#This Row],[Name]])</f>
        <v>#VALUE!</v>
      </c>
      <c r="AV6" s="3" t="s">
        <v>140</v>
      </c>
      <c r="AX6" s="2" t="e" vm="88">
        <f>_xlfn.IMAGE(_xlfn.CONCAT("https://raw.githubusercontent.com/ItsCryp7iC/Genshin-Image-Hosting/main/Weapons/",WeaponsImg[[#This Row],[Name]],".png"),WeaponsImg[[#This Row],[Name]])</f>
        <v>#VALUE!</v>
      </c>
      <c r="AY6" s="3" t="s">
        <v>141</v>
      </c>
      <c r="BA6" s="2" t="e" vm="89">
        <f>_xlfn.IMAGE(_xlfn.CONCAT("https://raw.githubusercontent.com/ItsCryp7iC/Genshin-Image-Hosting/main/WeaponMaterials/",WeaponMaterialsImg[[#This Row],[Name]],".png"),WeaponMaterialsImg[[#This Row],[Name]])</f>
        <v>#VALUE!</v>
      </c>
      <c r="BB6" s="3" t="s">
        <v>142</v>
      </c>
    </row>
    <row r="7" spans="1:54" ht="30" customHeight="1" x14ac:dyDescent="0.25">
      <c r="D7" s="5" t="e" vm="90">
        <f>_xlfn.IMAGE(_xlfn.CONCAT("https://raw.githubusercontent.com/ItsCryp7iC/Genshin-Image-Hosting/main/Characters/",CharacterDetailsImg[[#This Row],[Name]],".png"),CharacterDetailsImg[[#This Row],[Name]])</f>
        <v>#VALUE!</v>
      </c>
      <c r="E7" s="2" t="s">
        <v>143</v>
      </c>
      <c r="F7" s="2" t="e" vm="5">
        <f>$AR$3</f>
        <v>#VALUE!</v>
      </c>
      <c r="G7" s="2" t="e" vm="91">
        <f>$AU$5</f>
        <v>#VALUE!</v>
      </c>
      <c r="H7" s="18">
        <v>4.8</v>
      </c>
      <c r="I7" s="2" t="e" vm="92">
        <f>$P$30</f>
        <v>#VALUE!</v>
      </c>
      <c r="J7" s="2" t="e" vm="93">
        <f>$T$25</f>
        <v>#VALUE!</v>
      </c>
      <c r="K7" s="2" t="e" vm="94">
        <f>$AF$41</f>
        <v>#VALUE!</v>
      </c>
      <c r="L7" s="2" t="e" vm="95">
        <f>$Z$14</f>
        <v>#VALUE!</v>
      </c>
      <c r="M7" s="2" t="e" vm="96">
        <f>$AI$19</f>
        <v>#VALUE!</v>
      </c>
      <c r="N7" s="6" t="e" vm="97">
        <f>IF(OR(
E7="TravelerAnemo",
E7="TravelerGeo",
E7="TravelerElectro",
E7="TravelerDendro",
E7="TravelerHydro",
E7="TravelerPyro",
E7="TravelerCryo"),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P7" s="2" t="e" vm="98">
        <f>_xlfn.IMAGE(_xlfn.CONCAT("https://raw.githubusercontent.com/ItsCryp7iC/Genshin-Image-Hosting/main/WorldBoss/",WorldBossImg[[#This Row],[Name]],".png"),WorldBossImg[[#This Row],[Name]])</f>
        <v>#VALUE!</v>
      </c>
      <c r="Q7" s="3" t="s">
        <v>144</v>
      </c>
      <c r="R7" s="3" t="s">
        <v>145</v>
      </c>
      <c r="T7" s="2" t="e" vm="99">
        <f>_xlfn.IMAGE(_xlfn.CONCAT("https://raw.githubusercontent.com/ItsCryp7iC/Genshin-Image-Hosting/main/WeeklyBoss/",WeeklyBossImg[[#This Row],[Name]],".png"),WeeklyBossImg[[#This Row],[Name]])</f>
        <v>#VALUE!</v>
      </c>
      <c r="U7" s="3" t="s">
        <v>131</v>
      </c>
      <c r="V7" s="3" t="s">
        <v>146</v>
      </c>
      <c r="X7" s="3" t="s">
        <v>237</v>
      </c>
      <c r="Y7" s="3" t="s">
        <v>257</v>
      </c>
      <c r="Z7" s="2" t="e" vm="100">
        <f>_xlfn.IMAGE(_xlfn.CONCAT("https://raw.githubusercontent.com/ItsCryp7iC/Genshin-Image-Hosting/main/MonsterDrops/3Star/",MonsterMaterialsImg[[#This Row],[3*Name]],".png"),MonsterMaterialsImg[[#This Row],[3*Name]])</f>
        <v>#VALUE!</v>
      </c>
      <c r="AA7" s="3" t="s">
        <v>247</v>
      </c>
      <c r="AB7" s="3" t="e" vm="101">
        <f>_xlfn.IMAGE(_xlfn.CONCAT("https://raw.githubusercontent.com/ItsCryp7iC/Genshin-Image-Hosting/main/MonsterDrops/2Star/",MonsterMaterialsImg[[#This Row],[2*Name]],".png"),MonsterMaterialsImg[[#This Row],[2*Name]])</f>
        <v>#VALUE!</v>
      </c>
      <c r="AC7" s="3" t="s">
        <v>238</v>
      </c>
      <c r="AD7" s="3" t="e" vm="102">
        <f>_xlfn.IMAGE(_xlfn.CONCAT("https://raw.githubusercontent.com/ItsCryp7iC/Genshin-Image-Hosting/main/MonsterDrops/1Star/",MonsterMaterialsImg[[#This Row],[1*Name]],".png"),MonsterMaterialsImg[[#This Row],[1*Name]])</f>
        <v>#VALUE!</v>
      </c>
      <c r="AF7" s="2" t="e" vm="103">
        <f>_xlfn.IMAGE(_xlfn.CONCAT("https://raw.githubusercontent.com/ItsCryp7iC/Genshin-Image-Hosting/main/TalentBooks/",TalentBooksImg[[#This Row],[Name]],".png"),TalentBooksImg[[#This Row],[Name]])</f>
        <v>#VALUE!</v>
      </c>
      <c r="AG7" s="3" t="s">
        <v>148</v>
      </c>
      <c r="AI7" s="2" t="e" vm="104">
        <f>_xlfn.IMAGE(_xlfn.CONCAT("https://raw.githubusercontent.com/ItsCryp7iC/Genshin-Image-Hosting/main/LocalSpecialties/",LocalSpecialtiesImg[[#This Row],[Name]],".png"),LocalSpecialtiesImg[[#This Row],[Name]])</f>
        <v>#VALUE!</v>
      </c>
      <c r="AJ7" s="3" t="s">
        <v>149</v>
      </c>
      <c r="AL7" s="2" t="e" vm="105">
        <f>_xlfn.IMAGE(_xlfn.CONCAT("https://raw.githubusercontent.com/ItsCryp7iC/Genshin-Image-Hosting/main/Gems/",GemsImg[[#This Row],[Name]],".png"),GemsImg[[#This Row],[Name]])</f>
        <v>#VALUE!</v>
      </c>
      <c r="AM7" s="3" t="s">
        <v>898</v>
      </c>
      <c r="AO7" s="2" t="e" vm="106">
        <f>_xlfn.IMAGE(_xlfn.CONCAT("https://raw.githubusercontent.com/ItsCryp7iC/Genshin-Image-Hosting/main/Misc/",MiscImg[[#This Row],[Name]],".png"),MiscImg[[#This Row],[Name]])</f>
        <v>#VALUE!</v>
      </c>
      <c r="AP7" s="3" t="s">
        <v>150</v>
      </c>
      <c r="AR7" s="2" t="e" vm="107">
        <f>_xlfn.IMAGE(_xlfn.CONCAT("https://raw.githubusercontent.com/ItsCryp7iC/Genshin-Image-Hosting/main/Billets/",BilletImg[[#This Row],[Name]],".png"),BilletImg[[#This Row],[Name]])</f>
        <v>#VALUE!</v>
      </c>
      <c r="AS7" s="3" t="s">
        <v>151</v>
      </c>
      <c r="AU7" s="2" t="e" vm="108">
        <f>_xlfn.IMAGE(_xlfn.CONCAT("https://raw.githubusercontent.com/ItsCryp7iC/Genshin-Image-Hosting/main/Elements/",ElementsImg[[#This Row],[Name]],".png"),ElementsImg[[#This Row],[Name]])</f>
        <v>#VALUE!</v>
      </c>
      <c r="AV7" s="3" t="s">
        <v>152</v>
      </c>
      <c r="AX7" s="2" t="e" vm="109">
        <f>_xlfn.IMAGE(_xlfn.CONCAT("https://raw.githubusercontent.com/ItsCryp7iC/Genshin-Image-Hosting/main/Weapons/",WeaponsImg[[#This Row],[Name]],".png"),WeaponsImg[[#This Row],[Name]])</f>
        <v>#VALUE!</v>
      </c>
      <c r="AY7" s="3" t="s">
        <v>153</v>
      </c>
      <c r="BA7" s="2" t="e" vm="110">
        <f>_xlfn.IMAGE(_xlfn.CONCAT("https://raw.githubusercontent.com/ItsCryp7iC/Genshin-Image-Hosting/main/WeaponMaterials/",WeaponMaterialsImg[[#This Row],[Name]],".png"),WeaponMaterialsImg[[#This Row],[Name]])</f>
        <v>#VALUE!</v>
      </c>
      <c r="BB7" s="3" t="s">
        <v>154</v>
      </c>
    </row>
    <row r="8" spans="1:54" ht="30" customHeight="1" x14ac:dyDescent="0.25">
      <c r="D8" s="5" t="e" vm="111">
        <f>_xlfn.IMAGE(_xlfn.CONCAT("https://raw.githubusercontent.com/ItsCryp7iC/Genshin-Image-Hosting/main/Characters/",CharacterDetailsImg[[#This Row],[Name]],".png"),CharacterDetailsImg[[#This Row],[Name]])</f>
        <v>#VALUE!</v>
      </c>
      <c r="E8" s="2" t="s">
        <v>155</v>
      </c>
      <c r="F8" s="2" t="e" vm="5">
        <f>$AR$3</f>
        <v>#VALUE!</v>
      </c>
      <c r="G8" s="2" t="e" vm="112">
        <f>$AU$7</f>
        <v>#VALUE!</v>
      </c>
      <c r="H8" s="18">
        <v>4.2</v>
      </c>
      <c r="I8" s="2" t="e" vm="113">
        <f>$P$31</f>
        <v>#VALUE!</v>
      </c>
      <c r="J8" s="2" t="e" vm="114">
        <f>$T$29</f>
        <v>#VALUE!</v>
      </c>
      <c r="K8" s="2" t="e" vm="94">
        <f>$AF$41</f>
        <v>#VALUE!</v>
      </c>
      <c r="L8" s="2" t="e" vm="115">
        <f>$Z$9</f>
        <v>#VALUE!</v>
      </c>
      <c r="M8" s="2" t="e" vm="116">
        <f>$AI$17</f>
        <v>#VALUE!</v>
      </c>
      <c r="N8" s="6" t="e" vm="117">
        <f>IF(OR(
E8="TravelerAnemo",
E8="TravelerGeo",
E8="TravelerElectro",
E8="TravelerDendro",
E8="TravelerHydro",
E8="TravelerPyro",
E8="TravelerCryo"),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P8" s="2" t="e" vm="118">
        <f>_xlfn.IMAGE(_xlfn.CONCAT("https://raw.githubusercontent.com/ItsCryp7iC/Genshin-Image-Hosting/main/WorldBoss/",WorldBossImg[[#This Row],[Name]],".png"),WorldBossImg[[#This Row],[Name]])</f>
        <v>#VALUE!</v>
      </c>
      <c r="Q8" s="3" t="s">
        <v>156</v>
      </c>
      <c r="R8" s="3" t="s">
        <v>157</v>
      </c>
      <c r="T8" s="2" t="e" vm="119">
        <f>_xlfn.IMAGE(_xlfn.CONCAT("https://raw.githubusercontent.com/ItsCryp7iC/Genshin-Image-Hosting/main/WeeklyBoss/",WeeklyBossImg[[#This Row],[Name]],".png"),WeeklyBossImg[[#This Row],[Name]])</f>
        <v>#VALUE!</v>
      </c>
      <c r="U8" s="3" t="s">
        <v>131</v>
      </c>
      <c r="V8" s="3" t="s">
        <v>158</v>
      </c>
      <c r="X8" s="3" t="s">
        <v>268</v>
      </c>
      <c r="Y8" s="3" t="s">
        <v>288</v>
      </c>
      <c r="Z8" s="2" t="e" vm="120">
        <f>_xlfn.IMAGE(_xlfn.CONCAT("https://raw.githubusercontent.com/ItsCryp7iC/Genshin-Image-Hosting/main/MonsterDrops/3Star/",MonsterMaterialsImg[[#This Row],[3*Name]],".png"),MonsterMaterialsImg[[#This Row],[3*Name]])</f>
        <v>#VALUE!</v>
      </c>
      <c r="AA8" s="3" t="s">
        <v>279</v>
      </c>
      <c r="AB8" s="3" t="e" vm="121">
        <f>_xlfn.IMAGE(_xlfn.CONCAT("https://raw.githubusercontent.com/ItsCryp7iC/Genshin-Image-Hosting/main/MonsterDrops/2Star/",MonsterMaterialsImg[[#This Row],[2*Name]],".png"),MonsterMaterialsImg[[#This Row],[2*Name]])</f>
        <v>#VALUE!</v>
      </c>
      <c r="AC8" s="3" t="s">
        <v>269</v>
      </c>
      <c r="AD8" s="3" t="e" vm="122">
        <f>_xlfn.IMAGE(_xlfn.CONCAT("https://raw.githubusercontent.com/ItsCryp7iC/Genshin-Image-Hosting/main/MonsterDrops/1Star/",MonsterMaterialsImg[[#This Row],[1*Name]],".png"),MonsterMaterialsImg[[#This Row],[1*Name]])</f>
        <v>#VALUE!</v>
      </c>
      <c r="AF8" s="2" t="e" vm="123">
        <f>_xlfn.IMAGE(_xlfn.CONCAT("https://raw.githubusercontent.com/ItsCryp7iC/Genshin-Image-Hosting/main/TalentBooks/",TalentBooksImg[[#This Row],[Name]],".png"),TalentBooksImg[[#This Row],[Name]])</f>
        <v>#VALUE!</v>
      </c>
      <c r="AG8" s="3" t="s">
        <v>160</v>
      </c>
      <c r="AI8" s="2" t="e" vm="124">
        <f>_xlfn.IMAGE(_xlfn.CONCAT("https://raw.githubusercontent.com/ItsCryp7iC/Genshin-Image-Hosting/main/LocalSpecialties/",LocalSpecialtiesImg[[#This Row],[Name]],".png"),LocalSpecialtiesImg[[#This Row],[Name]])</f>
        <v>#VALUE!</v>
      </c>
      <c r="AJ8" s="3" t="s">
        <v>161</v>
      </c>
      <c r="AL8" s="2" t="e" vm="125">
        <f>_xlfn.IMAGE(_xlfn.CONCAT("https://raw.githubusercontent.com/ItsCryp7iC/Genshin-Image-Hosting/main/Gems/",GemsImg[[#This Row],[Name]],".png"),GemsImg[[#This Row],[Name]])</f>
        <v>#VALUE!</v>
      </c>
      <c r="AM8" s="3" t="s">
        <v>162</v>
      </c>
      <c r="AO8" s="2" t="e" vm="126">
        <f>_xlfn.IMAGE(_xlfn.CONCAT("https://raw.githubusercontent.com/ItsCryp7iC/Genshin-Image-Hosting/main/Misc/",MiscImg[[#This Row],[Name]],".png"),MiscImg[[#This Row],[Name]])</f>
        <v>#VALUE!</v>
      </c>
      <c r="AP8" s="3" t="s">
        <v>163</v>
      </c>
      <c r="AR8"/>
      <c r="AS8"/>
      <c r="AU8" s="2" t="e" vm="127">
        <f>_xlfn.IMAGE(_xlfn.CONCAT("https://raw.githubusercontent.com/ItsCryp7iC/Genshin-Image-Hosting/main/Elements/",ElementsImg[[#This Row],[Name]],".png"),ElementsImg[[#This Row],[Name]])</f>
        <v>#VALUE!</v>
      </c>
      <c r="AV8" s="3" t="s">
        <v>164</v>
      </c>
      <c r="AX8" s="2" t="e" vm="128">
        <f>_xlfn.IMAGE(_xlfn.CONCAT("https://raw.githubusercontent.com/ItsCryp7iC/Genshin-Image-Hosting/main/Weapons/",WeaponsImg[[#This Row],[Name]],".png"),WeaponsImg[[#This Row],[Name]])</f>
        <v>#VALUE!</v>
      </c>
      <c r="AY8" s="3" t="s">
        <v>165</v>
      </c>
      <c r="BA8" s="2" t="e" vm="129">
        <f>_xlfn.IMAGE(_xlfn.CONCAT("https://raw.githubusercontent.com/ItsCryp7iC/Genshin-Image-Hosting/main/WeaponMaterials/",WeaponMaterialsImg[[#This Row],[Name]],".png"),WeaponMaterialsImg[[#This Row],[Name]])</f>
        <v>#VALUE!</v>
      </c>
      <c r="BB8" s="3" t="s">
        <v>166</v>
      </c>
    </row>
    <row r="9" spans="1:54" ht="30" customHeight="1" x14ac:dyDescent="0.25">
      <c r="D9" s="5" t="e" vm="130">
        <f>_xlfn.IMAGE(_xlfn.CONCAT("https://raw.githubusercontent.com/ItsCryp7iC/Genshin-Image-Hosting/main/Characters/",CharacterDetailsImg[[#This Row],[Name]],".png"),CharacterDetailsImg[[#This Row],[Name]])</f>
        <v>#VALUE!</v>
      </c>
      <c r="E9" s="2" t="s">
        <v>167</v>
      </c>
      <c r="F9" s="2" t="e" vm="5">
        <f>$AR$3</f>
        <v>#VALUE!</v>
      </c>
      <c r="G9" s="2" t="e" vm="131">
        <f>$AU$3</f>
        <v>#VALUE!</v>
      </c>
      <c r="H9" s="18">
        <v>1</v>
      </c>
      <c r="I9" s="2" t="e" vm="132">
        <f>$P$3</f>
        <v>#VALUE!</v>
      </c>
      <c r="J9" s="2" t="e" vm="52">
        <f>$T$3</f>
        <v>#VALUE!</v>
      </c>
      <c r="K9" s="2" t="e" vm="53">
        <f>$AF$8</f>
        <v>#VALUE!</v>
      </c>
      <c r="L9" s="2" t="e" vm="133">
        <f>$Z$3</f>
        <v>#VALUE!</v>
      </c>
      <c r="M9" s="2" t="e" vm="134">
        <f>$AI$10</f>
        <v>#VALUE!</v>
      </c>
      <c r="N9" s="6" t="e" vm="135">
        <f>IF(OR(
E9="TravelerAnemo",
E9="TravelerGeo",
E9="TravelerElectro",
E9="TravelerDendro",
E9="TravelerHydro",
E9="TravelerPyro",
E9="TravelerCryo"),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P9" s="2" t="e" vm="136">
        <f>_xlfn.IMAGE(_xlfn.CONCAT("https://raw.githubusercontent.com/ItsCryp7iC/Genshin-Image-Hosting/main/WorldBoss/",WorldBossImg[[#This Row],[Name]],".png"),WorldBossImg[[#This Row],[Name]])</f>
        <v>#VALUE!</v>
      </c>
      <c r="Q9" s="3" t="s">
        <v>168</v>
      </c>
      <c r="R9" s="3" t="s">
        <v>169</v>
      </c>
      <c r="T9" s="2" t="e" vm="137">
        <f>_xlfn.IMAGE(_xlfn.CONCAT("https://raw.githubusercontent.com/ItsCryp7iC/Genshin-Image-Hosting/main/WeeklyBoss/",WeeklyBossImg[[#This Row],[Name]],".png"),WeeklyBossImg[[#This Row],[Name]])</f>
        <v>#VALUE!</v>
      </c>
      <c r="U9" s="3" t="s">
        <v>170</v>
      </c>
      <c r="V9" s="3" t="s">
        <v>171</v>
      </c>
      <c r="X9" s="3" t="s">
        <v>298</v>
      </c>
      <c r="Y9" s="3" t="s">
        <v>319</v>
      </c>
      <c r="Z9" s="2" t="e" vm="138">
        <f>_xlfn.IMAGE(_xlfn.CONCAT("https://raw.githubusercontent.com/ItsCryp7iC/Genshin-Image-Hosting/main/MonsterDrops/3Star/",MonsterMaterialsImg[[#This Row],[3*Name]],".png"),MonsterMaterialsImg[[#This Row],[3*Name]])</f>
        <v>#VALUE!</v>
      </c>
      <c r="AA9" s="3" t="s">
        <v>309</v>
      </c>
      <c r="AB9" s="3" t="e" vm="139">
        <f>_xlfn.IMAGE(_xlfn.CONCAT("https://raw.githubusercontent.com/ItsCryp7iC/Genshin-Image-Hosting/main/MonsterDrops/2Star/",MonsterMaterialsImg[[#This Row],[2*Name]],".png"),MonsterMaterialsImg[[#This Row],[2*Name]])</f>
        <v>#VALUE!</v>
      </c>
      <c r="AC9" s="3" t="s">
        <v>299</v>
      </c>
      <c r="AD9" s="3" t="e" vm="140">
        <f>_xlfn.IMAGE(_xlfn.CONCAT("https://raw.githubusercontent.com/ItsCryp7iC/Genshin-Image-Hosting/main/MonsterDrops/1Star/",MonsterMaterialsImg[[#This Row],[1*Name]],".png"),MonsterMaterialsImg[[#This Row],[1*Name]])</f>
        <v>#VALUE!</v>
      </c>
      <c r="AF9" s="2" t="e" vm="141">
        <f>_xlfn.IMAGE(_xlfn.CONCAT("https://raw.githubusercontent.com/ItsCryp7iC/Genshin-Image-Hosting/main/TalentBooks/",TalentBooksImg[[#This Row],[Name]],".png"),TalentBooksImg[[#This Row],[Name]])</f>
        <v>#VALUE!</v>
      </c>
      <c r="AG9" s="3" t="s">
        <v>174</v>
      </c>
      <c r="AI9" s="2" t="e" vm="142">
        <f>_xlfn.IMAGE(_xlfn.CONCAT("https://raw.githubusercontent.com/ItsCryp7iC/Genshin-Image-Hosting/main/LocalSpecialties/",LocalSpecialtiesImg[[#This Row],[Name]],".png"),LocalSpecialtiesImg[[#This Row],[Name]])</f>
        <v>#VALUE!</v>
      </c>
      <c r="AJ9" s="3" t="s">
        <v>175</v>
      </c>
      <c r="AL9" s="2" t="e" vm="143">
        <f>_xlfn.IMAGE(_xlfn.CONCAT("https://raw.githubusercontent.com/ItsCryp7iC/Genshin-Image-Hosting/main/Gems/",GemsImg[[#This Row],[Name]],".png"),GemsImg[[#This Row],[Name]])</f>
        <v>#VALUE!</v>
      </c>
      <c r="AM9" s="3" t="s">
        <v>176</v>
      </c>
      <c r="AO9" s="2" t="e" vm="144">
        <f>_xlfn.IMAGE(_xlfn.CONCAT("https://raw.githubusercontent.com/ItsCryp7iC/Genshin-Image-Hosting/main/Misc/",MiscImg[[#This Row],[Name]],".png"),MiscImg[[#This Row],[Name]])</f>
        <v>#VALUE!</v>
      </c>
      <c r="AP9" s="3" t="s">
        <v>177</v>
      </c>
      <c r="AR9"/>
      <c r="AS9"/>
      <c r="AU9" s="2" t="e" vm="145">
        <f>_xlfn.IMAGE(_xlfn.CONCAT("https://raw.githubusercontent.com/ItsCryp7iC/Genshin-Image-Hosting/main/Elements/",ElementsImg[[#This Row],[Name]],".png"),ElementsImg[[#This Row],[Name]])</f>
        <v>#VALUE!</v>
      </c>
      <c r="AV9" s="3" t="s">
        <v>178</v>
      </c>
      <c r="AX9" s="2" t="e" vm="146">
        <f>_xlfn.IMAGE(_xlfn.CONCAT("https://raw.githubusercontent.com/ItsCryp7iC/Genshin-Image-Hosting/main/Weapons/",WeaponsImg[[#This Row],[Name]],".png"),WeaponsImg[[#This Row],[Name]])</f>
        <v>#VALUE!</v>
      </c>
      <c r="AY9" s="3" t="s">
        <v>179</v>
      </c>
      <c r="BA9" s="2" t="e" vm="147">
        <f>_xlfn.IMAGE(_xlfn.CONCAT("https://raw.githubusercontent.com/ItsCryp7iC/Genshin-Image-Hosting/main/WeaponMaterials/",WeaponMaterialsImg[[#This Row],[Name]],".png"),WeaponMaterialsImg[[#This Row],[Name]])</f>
        <v>#VALUE!</v>
      </c>
      <c r="BB9" s="3" t="s">
        <v>180</v>
      </c>
    </row>
    <row r="10" spans="1:54" ht="30" customHeight="1" x14ac:dyDescent="0.25">
      <c r="D10" s="5" t="e" vm="148">
        <f>_xlfn.IMAGE(_xlfn.CONCAT("https://raw.githubusercontent.com/ItsCryp7iC/Genshin-Image-Hosting/main/Characters/",CharacterDetailsImg[[#This Row],[Name]],".png"),CharacterDetailsImg[[#This Row],[Name]])</f>
        <v>#VALUE!</v>
      </c>
      <c r="E10" s="2" t="s">
        <v>181</v>
      </c>
      <c r="F10" s="2" t="e" vm="5">
        <f>$AR$3</f>
        <v>#VALUE!</v>
      </c>
      <c r="G10" s="2" t="e" vm="131">
        <f>$AU$3</f>
        <v>#VALUE!</v>
      </c>
      <c r="H10" s="18">
        <v>1</v>
      </c>
      <c r="I10" s="2" t="e" vm="149">
        <f>$P$11</f>
        <v>#VALUE!</v>
      </c>
      <c r="J10" s="2" t="e" vm="150">
        <f>$T$13</f>
        <v>#VALUE!</v>
      </c>
      <c r="K10" s="2" t="e" vm="151">
        <f>$AF$20</f>
        <v>#VALUE!</v>
      </c>
      <c r="L10" s="2" t="e" vm="54">
        <f>$Z$7</f>
        <v>#VALUE!</v>
      </c>
      <c r="M10" s="2" t="e" vm="152">
        <f>$AI$35</f>
        <v>#VALUE!</v>
      </c>
      <c r="N10" s="6" t="e" vm="135">
        <f>IF(OR(
E10="TravelerAnemo",
E10="TravelerGeo",
E10="TravelerElectro",
E10="TravelerDendro",
E10="TravelerHydro",
E10="TravelerPyro",
E10="TravelerCryo"),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P10" s="2" t="e" vm="153">
        <f>_xlfn.IMAGE(_xlfn.CONCAT("https://raw.githubusercontent.com/ItsCryp7iC/Genshin-Image-Hosting/main/WorldBoss/",WorldBossImg[[#This Row],[Name]],".png"),WorldBossImg[[#This Row],[Name]])</f>
        <v>#VALUE!</v>
      </c>
      <c r="Q10" s="3" t="s">
        <v>182</v>
      </c>
      <c r="R10" s="3" t="s">
        <v>183</v>
      </c>
      <c r="T10" s="2" t="e" vm="154">
        <f>_xlfn.IMAGE(_xlfn.CONCAT("https://raw.githubusercontent.com/ItsCryp7iC/Genshin-Image-Hosting/main/WeeklyBoss/",WeeklyBossImg[[#This Row],[Name]],".png"),WeeklyBossImg[[#This Row],[Name]])</f>
        <v>#VALUE!</v>
      </c>
      <c r="U10" s="3" t="s">
        <v>170</v>
      </c>
      <c r="V10" s="3" t="s">
        <v>184</v>
      </c>
      <c r="X10" s="3" t="s">
        <v>329</v>
      </c>
      <c r="Y10" s="3" t="s">
        <v>350</v>
      </c>
      <c r="Z10" s="2" t="e" vm="155">
        <f>_xlfn.IMAGE(_xlfn.CONCAT("https://raw.githubusercontent.com/ItsCryp7iC/Genshin-Image-Hosting/main/MonsterDrops/3Star/",MonsterMaterialsImg[[#This Row],[3*Name]],".png"),MonsterMaterialsImg[[#This Row],[3*Name]])</f>
        <v>#VALUE!</v>
      </c>
      <c r="AA10" s="3" t="s">
        <v>340</v>
      </c>
      <c r="AB10" s="3" t="e" vm="156">
        <f>_xlfn.IMAGE(_xlfn.CONCAT("https://raw.githubusercontent.com/ItsCryp7iC/Genshin-Image-Hosting/main/MonsterDrops/2Star/",MonsterMaterialsImg[[#This Row],[2*Name]],".png"),MonsterMaterialsImg[[#This Row],[2*Name]])</f>
        <v>#VALUE!</v>
      </c>
      <c r="AC10" s="3" t="s">
        <v>330</v>
      </c>
      <c r="AD10" s="3" t="e" vm="157">
        <f>_xlfn.IMAGE(_xlfn.CONCAT("https://raw.githubusercontent.com/ItsCryp7iC/Genshin-Image-Hosting/main/MonsterDrops/1Star/",MonsterMaterialsImg[[#This Row],[1*Name]],".png"),MonsterMaterialsImg[[#This Row],[1*Name]])</f>
        <v>#VALUE!</v>
      </c>
      <c r="AF10" s="2" t="e" vm="158">
        <f>_xlfn.IMAGE(_xlfn.CONCAT("https://raw.githubusercontent.com/ItsCryp7iC/Genshin-Image-Hosting/main/TalentBooks/",TalentBooksImg[[#This Row],[Name]],".png"),TalentBooksImg[[#This Row],[Name]])</f>
        <v>#VALUE!</v>
      </c>
      <c r="AG10" s="3" t="s">
        <v>186</v>
      </c>
      <c r="AI10" s="2" t="e" vm="159">
        <f>_xlfn.IMAGE(_xlfn.CONCAT("https://raw.githubusercontent.com/ItsCryp7iC/Genshin-Image-Hosting/main/LocalSpecialties/",LocalSpecialtiesImg[[#This Row],[Name]],".png"),LocalSpecialtiesImg[[#This Row],[Name]])</f>
        <v>#VALUE!</v>
      </c>
      <c r="AJ10" s="3" t="s">
        <v>187</v>
      </c>
      <c r="AL10" s="2" t="e" vm="160">
        <f>_xlfn.IMAGE(_xlfn.CONCAT("https://raw.githubusercontent.com/ItsCryp7iC/Genshin-Image-Hosting/main/Gems/",GemsImg[[#This Row],[Name]],".png"),GemsImg[[#This Row],[Name]])</f>
        <v>#VALUE!</v>
      </c>
      <c r="AM10" s="3" t="s">
        <v>188</v>
      </c>
      <c r="AR10"/>
      <c r="AS10"/>
      <c r="AX10" s="2" t="e" vm="161">
        <f>_xlfn.IMAGE(_xlfn.CONCAT("https://raw.githubusercontent.com/ItsCryp7iC/Genshin-Image-Hosting/main/Weapons/",WeaponsImg[[#This Row],[Name]],".png"),WeaponsImg[[#This Row],[Name]])</f>
        <v>#VALUE!</v>
      </c>
      <c r="AY10" s="3" t="s">
        <v>189</v>
      </c>
      <c r="BA10" s="2" t="e" vm="162">
        <f>_xlfn.IMAGE(_xlfn.CONCAT("https://raw.githubusercontent.com/ItsCryp7iC/Genshin-Image-Hosting/main/WeaponMaterials/",WeaponMaterialsImg[[#This Row],[Name]],".png"),WeaponMaterialsImg[[#This Row],[Name]])</f>
        <v>#VALUE!</v>
      </c>
      <c r="BB10" s="3" t="s">
        <v>190</v>
      </c>
    </row>
    <row r="11" spans="1:54" ht="30" customHeight="1" x14ac:dyDescent="0.25">
      <c r="D11" s="5" t="e" vm="163">
        <f>_xlfn.IMAGE(_xlfn.CONCAT("https://raw.githubusercontent.com/ItsCryp7iC/Genshin-Image-Hosting/main/Characters/",CharacterDetailsImg[[#This Row],[Name]],".png"),CharacterDetailsImg[[#This Row],[Name]])</f>
        <v>#VALUE!</v>
      </c>
      <c r="E11" s="2" t="s">
        <v>191</v>
      </c>
      <c r="F11" s="2" t="e" vm="5">
        <f>$AR$3</f>
        <v>#VALUE!</v>
      </c>
      <c r="G11" s="2" t="e" vm="164">
        <f>$AU$9</f>
        <v>#VALUE!</v>
      </c>
      <c r="H11" s="18">
        <v>2</v>
      </c>
      <c r="I11" s="2" t="e" vm="165">
        <f>$P$4</f>
        <v>#VALUE!</v>
      </c>
      <c r="J11" s="2" t="e" vm="166">
        <f>$T$7</f>
        <v>#VALUE!</v>
      </c>
      <c r="K11" s="2" t="e" vm="9">
        <f>$AF$5</f>
        <v>#VALUE!</v>
      </c>
      <c r="L11" s="2" t="e" vm="54">
        <f>$Z$7</f>
        <v>#VALUE!</v>
      </c>
      <c r="M11" s="2" t="e" vm="167">
        <f>$AI$5</f>
        <v>#VALUE!</v>
      </c>
      <c r="N11" s="6" t="e" vm="168">
        <f>IF(OR(
E11="TravelerAnemo",
E11="TravelerGeo",
E11="TravelerElectro",
E11="TravelerDendro",
E11="TravelerHydro",
E11="TravelerPyro",
E11="TravelerCryo"),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P11" s="2" t="e" vm="169">
        <f>_xlfn.IMAGE(_xlfn.CONCAT("https://raw.githubusercontent.com/ItsCryp7iC/Genshin-Image-Hosting/main/WorldBoss/",WorldBossImg[[#This Row],[Name]],".png"),WorldBossImg[[#This Row],[Name]])</f>
        <v>#VALUE!</v>
      </c>
      <c r="Q11" s="3" t="s">
        <v>192</v>
      </c>
      <c r="R11" s="3" t="s">
        <v>193</v>
      </c>
      <c r="T11" s="2" t="e" vm="170">
        <f>_xlfn.IMAGE(_xlfn.CONCAT("https://raw.githubusercontent.com/ItsCryp7iC/Genshin-Image-Hosting/main/WeeklyBoss/",WeeklyBossImg[[#This Row],[Name]],".png"),WeeklyBossImg[[#This Row],[Name]])</f>
        <v>#VALUE!</v>
      </c>
      <c r="U11" s="3" t="s">
        <v>170</v>
      </c>
      <c r="V11" s="3" t="s">
        <v>194</v>
      </c>
      <c r="X11" s="3" t="s">
        <v>361</v>
      </c>
      <c r="Y11" s="3" t="s">
        <v>381</v>
      </c>
      <c r="Z11" s="2" t="e" vm="171">
        <f>_xlfn.IMAGE(_xlfn.CONCAT("https://raw.githubusercontent.com/ItsCryp7iC/Genshin-Image-Hosting/main/MonsterDrops/3Star/",MonsterMaterialsImg[[#This Row],[3*Name]],".png"),MonsterMaterialsImg[[#This Row],[3*Name]])</f>
        <v>#VALUE!</v>
      </c>
      <c r="AA11" s="3" t="s">
        <v>371</v>
      </c>
      <c r="AB11" s="3" t="e" vm="172">
        <f>_xlfn.IMAGE(_xlfn.CONCAT("https://raw.githubusercontent.com/ItsCryp7iC/Genshin-Image-Hosting/main/MonsterDrops/2Star/",MonsterMaterialsImg[[#This Row],[2*Name]],".png"),MonsterMaterialsImg[[#This Row],[2*Name]])</f>
        <v>#VALUE!</v>
      </c>
      <c r="AC11" s="3" t="s">
        <v>362</v>
      </c>
      <c r="AD11" s="3" t="e" vm="173">
        <f>_xlfn.IMAGE(_xlfn.CONCAT("https://raw.githubusercontent.com/ItsCryp7iC/Genshin-Image-Hosting/main/MonsterDrops/1Star/",MonsterMaterialsImg[[#This Row],[1*Name]],".png"),MonsterMaterialsImg[[#This Row],[1*Name]])</f>
        <v>#VALUE!</v>
      </c>
      <c r="AF11" s="2" t="e" vm="174">
        <f>_xlfn.IMAGE(_xlfn.CONCAT("https://raw.githubusercontent.com/ItsCryp7iC/Genshin-Image-Hosting/main/TalentBooks/",TalentBooksImg[[#This Row],[Name]],".png"),TalentBooksImg[[#This Row],[Name]])</f>
        <v>#VALUE!</v>
      </c>
      <c r="AG11" s="3" t="s">
        <v>196</v>
      </c>
      <c r="AI11" s="2" t="e" vm="175">
        <f>_xlfn.IMAGE(_xlfn.CONCAT("https://raw.githubusercontent.com/ItsCryp7iC/Genshin-Image-Hosting/main/LocalSpecialties/",LocalSpecialtiesImg[[#This Row],[Name]],".png"),LocalSpecialtiesImg[[#This Row],[Name]])</f>
        <v>#VALUE!</v>
      </c>
      <c r="AJ11" s="3" t="s">
        <v>197</v>
      </c>
      <c r="AL11" s="2" t="e" vm="176">
        <f>_xlfn.IMAGE(_xlfn.CONCAT("https://raw.githubusercontent.com/ItsCryp7iC/Genshin-Image-Hosting/main/Gems/",GemsImg[[#This Row],[Name]],".png"),GemsImg[[#This Row],[Name]])</f>
        <v>#VALUE!</v>
      </c>
      <c r="AM11" s="3" t="s">
        <v>899</v>
      </c>
      <c r="AR11"/>
      <c r="AS11"/>
      <c r="AX11" s="2" t="e" vm="177">
        <f>_xlfn.IMAGE(_xlfn.CONCAT("https://raw.githubusercontent.com/ItsCryp7iC/Genshin-Image-Hosting/main/Weapons/",WeaponsImg[[#This Row],[Name]],".png"),WeaponsImg[[#This Row],[Name]])</f>
        <v>#VALUE!</v>
      </c>
      <c r="AY11" s="3" t="s">
        <v>198</v>
      </c>
      <c r="BA11" s="2" t="e" vm="178">
        <f>_xlfn.IMAGE(_xlfn.CONCAT("https://raw.githubusercontent.com/ItsCryp7iC/Genshin-Image-Hosting/main/WeaponMaterials/",WeaponMaterialsImg[[#This Row],[Name]],".png"),WeaponMaterialsImg[[#This Row],[Name]])</f>
        <v>#VALUE!</v>
      </c>
      <c r="BB11" s="3" t="s">
        <v>199</v>
      </c>
    </row>
    <row r="12" spans="1:54" ht="30" customHeight="1" x14ac:dyDescent="0.25">
      <c r="D12" s="5" t="e" vm="179">
        <f>_xlfn.IMAGE(_xlfn.CONCAT("https://raw.githubusercontent.com/ItsCryp7iC/Genshin-Image-Hosting/main/Characters/",CharacterDetailsImg[[#This Row],[Name]],".png"),CharacterDetailsImg[[#This Row],[Name]])</f>
        <v>#VALUE!</v>
      </c>
      <c r="E12" s="2" t="s">
        <v>200</v>
      </c>
      <c r="F12" s="2" t="e" vm="5">
        <f>$AR$3</f>
        <v>#VALUE!</v>
      </c>
      <c r="G12" s="2" t="e" vm="164">
        <f>$AU$9</f>
        <v>#VALUE!</v>
      </c>
      <c r="H12" s="18">
        <v>2.6</v>
      </c>
      <c r="I12" s="2" t="e" vm="180">
        <f>$P$12</f>
        <v>#VALUE!</v>
      </c>
      <c r="J12" s="2" t="e" vm="181">
        <f>$T$14</f>
        <v>#VALUE!</v>
      </c>
      <c r="K12" s="2" t="e" vm="182">
        <f>$AF$29</f>
        <v>#VALUE!</v>
      </c>
      <c r="L12" s="2" t="e" vm="183">
        <f>$Z$10</f>
        <v>#VALUE!</v>
      </c>
      <c r="M12" s="2" t="e" vm="184">
        <f>$AI$31</f>
        <v>#VALUE!</v>
      </c>
      <c r="N12" s="6" t="e" vm="168">
        <f>IF(OR(
E12="TravelerAnemo",
E12="TravelerGeo",
E12="TravelerElectro",
E12="TravelerDendro",
E12="TravelerHydro",
E12="TravelerPyro",
E12="TravelerCryo"),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P12" s="2" t="e" vm="185">
        <f>_xlfn.IMAGE(_xlfn.CONCAT("https://raw.githubusercontent.com/ItsCryp7iC/Genshin-Image-Hosting/main/WorldBoss/",WorldBossImg[[#This Row],[Name]],".png"),WorldBossImg[[#This Row],[Name]])</f>
        <v>#VALUE!</v>
      </c>
      <c r="Q12" s="3" t="s">
        <v>201</v>
      </c>
      <c r="R12" s="3" t="s">
        <v>202</v>
      </c>
      <c r="T12" s="2" t="e" vm="186">
        <f>_xlfn.IMAGE(_xlfn.CONCAT("https://raw.githubusercontent.com/ItsCryp7iC/Genshin-Image-Hosting/main/WeeklyBoss/",WeeklyBossImg[[#This Row],[Name]],".png"),WeeklyBossImg[[#This Row],[Name]])</f>
        <v>#VALUE!</v>
      </c>
      <c r="U12" s="3" t="s">
        <v>203</v>
      </c>
      <c r="V12" s="3" t="s">
        <v>204</v>
      </c>
      <c r="X12" s="3" t="s">
        <v>392</v>
      </c>
      <c r="Y12" s="3" t="s">
        <v>411</v>
      </c>
      <c r="Z12" s="2" t="e" vm="187">
        <f>_xlfn.IMAGE(_xlfn.CONCAT("https://raw.githubusercontent.com/ItsCryp7iC/Genshin-Image-Hosting/main/MonsterDrops/3Star/",MonsterMaterialsImg[[#This Row],[3*Name]],".png"),MonsterMaterialsImg[[#This Row],[3*Name]])</f>
        <v>#VALUE!</v>
      </c>
      <c r="AA12" s="3" t="s">
        <v>403</v>
      </c>
      <c r="AB12" s="3" t="e" vm="188">
        <f>_xlfn.IMAGE(_xlfn.CONCAT("https://raw.githubusercontent.com/ItsCryp7iC/Genshin-Image-Hosting/main/MonsterDrops/2Star/",MonsterMaterialsImg[[#This Row],[2*Name]],".png"),MonsterMaterialsImg[[#This Row],[2*Name]])</f>
        <v>#VALUE!</v>
      </c>
      <c r="AC12" s="3" t="s">
        <v>393</v>
      </c>
      <c r="AD12" s="3" t="e" vm="189">
        <f>_xlfn.IMAGE(_xlfn.CONCAT("https://raw.githubusercontent.com/ItsCryp7iC/Genshin-Image-Hosting/main/MonsterDrops/1Star/",MonsterMaterialsImg[[#This Row],[1*Name]],".png"),MonsterMaterialsImg[[#This Row],[1*Name]])</f>
        <v>#VALUE!</v>
      </c>
      <c r="AF12" s="2" t="e" vm="190">
        <f>_xlfn.IMAGE(_xlfn.CONCAT("https://raw.githubusercontent.com/ItsCryp7iC/Genshin-Image-Hosting/main/TalentBooks/",TalentBooksImg[[#This Row],[Name]],".png"),TalentBooksImg[[#This Row],[Name]])</f>
        <v>#VALUE!</v>
      </c>
      <c r="AG12" s="3" t="s">
        <v>207</v>
      </c>
      <c r="AI12" s="2" t="e" vm="191">
        <f>_xlfn.IMAGE(_xlfn.CONCAT("https://raw.githubusercontent.com/ItsCryp7iC/Genshin-Image-Hosting/main/LocalSpecialties/",LocalSpecialtiesImg[[#This Row],[Name]],".png"),LocalSpecialtiesImg[[#This Row],[Name]])</f>
        <v>#VALUE!</v>
      </c>
      <c r="AJ12" s="3" t="s">
        <v>208</v>
      </c>
      <c r="AL12" s="2" t="e" vm="192">
        <f>_xlfn.IMAGE(_xlfn.CONCAT("https://raw.githubusercontent.com/ItsCryp7iC/Genshin-Image-Hosting/main/Gems/",GemsImg[[#This Row],[Name]],".png"),GemsImg[[#This Row],[Name]])</f>
        <v>#VALUE!</v>
      </c>
      <c r="AM12" s="3" t="s">
        <v>209</v>
      </c>
      <c r="AX12" s="2" t="e" vm="193">
        <f>_xlfn.IMAGE(_xlfn.CONCAT("https://raw.githubusercontent.com/ItsCryp7iC/Genshin-Image-Hosting/main/Weapons/",WeaponsImg[[#This Row],[Name]],".png"),WeaponsImg[[#This Row],[Name]])</f>
        <v>#VALUE!</v>
      </c>
      <c r="AY12" s="3" t="s">
        <v>210</v>
      </c>
      <c r="BA12" s="2" t="e" vm="194">
        <f>_xlfn.IMAGE(_xlfn.CONCAT("https://raw.githubusercontent.com/ItsCryp7iC/Genshin-Image-Hosting/main/WeaponMaterials/",WeaponMaterialsImg[[#This Row],[Name]],".png"),WeaponMaterialsImg[[#This Row],[Name]])</f>
        <v>#VALUE!</v>
      </c>
      <c r="BB12" s="3" t="s">
        <v>211</v>
      </c>
    </row>
    <row r="13" spans="1:54" ht="30" customHeight="1" x14ac:dyDescent="0.25">
      <c r="D13" s="5" t="e" vm="195">
        <f>_xlfn.IMAGE(_xlfn.CONCAT("https://raw.githubusercontent.com/ItsCryp7iC/Genshin-Image-Hosting/main/Characters/",CharacterDetailsImg[[#This Row],[Name]],".png"),CharacterDetailsImg[[#This Row],[Name]])</f>
        <v>#VALUE!</v>
      </c>
      <c r="E13" s="2" t="s">
        <v>212</v>
      </c>
      <c r="F13" s="2" t="e" vm="5">
        <f>$AR$3</f>
        <v>#VALUE!</v>
      </c>
      <c r="G13" s="2" t="e" vm="112">
        <f>$AU$7</f>
        <v>#VALUE!</v>
      </c>
      <c r="H13" s="18">
        <v>3.6</v>
      </c>
      <c r="I13" s="2" t="e" vm="196">
        <f>$P$14</f>
        <v>#VALUE!</v>
      </c>
      <c r="J13" s="2" t="e" vm="197">
        <f>$T$18</f>
        <v>#VALUE!</v>
      </c>
      <c r="K13" s="2" t="e" vm="182">
        <f>$AF$29</f>
        <v>#VALUE!</v>
      </c>
      <c r="L13" s="2" t="e" vm="183">
        <f>$Z$10</f>
        <v>#VALUE!</v>
      </c>
      <c r="M13" s="2" t="e" vm="184">
        <f>$AI$31</f>
        <v>#VALUE!</v>
      </c>
      <c r="N13" s="6" t="e" vm="117">
        <f>IF(OR(
E13="TravelerAnemo",
E13="TravelerGeo",
E13="TravelerElectro",
E13="TravelerDendro",
E13="TravelerHydro",
E13="TravelerPyro",
E13="TravelerCryo"),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P13" s="2" t="e" vm="198">
        <f>_xlfn.IMAGE(_xlfn.CONCAT("https://raw.githubusercontent.com/ItsCryp7iC/Genshin-Image-Hosting/main/WorldBoss/",WorldBossImg[[#This Row],[Name]],".png"),WorldBossImg[[#This Row],[Name]])</f>
        <v>#VALUE!</v>
      </c>
      <c r="Q13" s="3" t="s">
        <v>213</v>
      </c>
      <c r="R13" s="3" t="s">
        <v>214</v>
      </c>
      <c r="T13" s="2" t="e" vm="199">
        <f>_xlfn.IMAGE(_xlfn.CONCAT("https://raw.githubusercontent.com/ItsCryp7iC/Genshin-Image-Hosting/main/WeeklyBoss/",WeeklyBossImg[[#This Row],[Name]],".png"),WeeklyBossImg[[#This Row],[Name]])</f>
        <v>#VALUE!</v>
      </c>
      <c r="U13" s="3" t="s">
        <v>203</v>
      </c>
      <c r="V13" s="3" t="s">
        <v>215</v>
      </c>
      <c r="X13" s="3" t="s">
        <v>44</v>
      </c>
      <c r="Y13" s="3" t="s">
        <v>434</v>
      </c>
      <c r="Z13" s="2" t="e" vm="200">
        <f>_xlfn.IMAGE(_xlfn.CONCAT("https://raw.githubusercontent.com/ItsCryp7iC/Genshin-Image-Hosting/main/MonsterDrops/3Star/",MonsterMaterialsImg[[#This Row],[3*Name]],".png"),MonsterMaterialsImg[[#This Row],[3*Name]])</f>
        <v>#VALUE!</v>
      </c>
      <c r="AA13" s="3" t="s">
        <v>427</v>
      </c>
      <c r="AB13" s="3" t="e" vm="201">
        <f>_xlfn.IMAGE(_xlfn.CONCAT("https://raw.githubusercontent.com/ItsCryp7iC/Genshin-Image-Hosting/main/MonsterDrops/2Star/",MonsterMaterialsImg[[#This Row],[2*Name]],".png"),MonsterMaterialsImg[[#This Row],[2*Name]])</f>
        <v>#VALUE!</v>
      </c>
      <c r="AC13" s="3" t="s">
        <v>420</v>
      </c>
      <c r="AD13" s="3" t="e" vm="202">
        <f>_xlfn.IMAGE(_xlfn.CONCAT("https://raw.githubusercontent.com/ItsCryp7iC/Genshin-Image-Hosting/main/MonsterDrops/1Star/",MonsterMaterialsImg[[#This Row],[1*Name]],".png"),MonsterMaterialsImg[[#This Row],[1*Name]])</f>
        <v>#VALUE!</v>
      </c>
      <c r="AF13" s="2" t="e" vm="203">
        <f>_xlfn.IMAGE(_xlfn.CONCAT("https://raw.githubusercontent.com/ItsCryp7iC/Genshin-Image-Hosting/main/TalentBooks/",TalentBooksImg[[#This Row],[Name]],".png"),TalentBooksImg[[#This Row],[Name]])</f>
        <v>#VALUE!</v>
      </c>
      <c r="AG13" s="3" t="s">
        <v>217</v>
      </c>
      <c r="AI13" s="2" t="e" vm="204">
        <f>_xlfn.IMAGE(_xlfn.CONCAT("https://raw.githubusercontent.com/ItsCryp7iC/Genshin-Image-Hosting/main/LocalSpecialties/",LocalSpecialtiesImg[[#This Row],[Name]],".png"),LocalSpecialtiesImg[[#This Row],[Name]])</f>
        <v>#VALUE!</v>
      </c>
      <c r="AJ13" s="3" t="s">
        <v>218</v>
      </c>
      <c r="AL13" s="2" t="e" vm="205">
        <f>_xlfn.IMAGE(_xlfn.CONCAT("https://raw.githubusercontent.com/ItsCryp7iC/Genshin-Image-Hosting/main/Gems/",GemsImg[[#This Row],[Name]],".png"),GemsImg[[#This Row],[Name]])</f>
        <v>#VALUE!</v>
      </c>
      <c r="AM13" s="3" t="s">
        <v>219</v>
      </c>
      <c r="AR13"/>
      <c r="AX13" s="2" t="e" vm="206">
        <f>_xlfn.IMAGE(_xlfn.CONCAT("https://raw.githubusercontent.com/ItsCryp7iC/Genshin-Image-Hosting/main/Weapons/",WeaponsImg[[#This Row],[Name]],".png"),WeaponsImg[[#This Row],[Name]])</f>
        <v>#VALUE!</v>
      </c>
      <c r="AY13" s="3" t="s">
        <v>220</v>
      </c>
      <c r="BA13" s="2" t="e" vm="207">
        <f>_xlfn.IMAGE(_xlfn.CONCAT("https://raw.githubusercontent.com/ItsCryp7iC/Genshin-Image-Hosting/main/WeaponMaterials/",WeaponMaterialsImg[[#This Row],[Name]],".png"),WeaponMaterialsImg[[#This Row],[Name]])</f>
        <v>#VALUE!</v>
      </c>
      <c r="BB13" s="3" t="s">
        <v>221</v>
      </c>
    </row>
    <row r="14" spans="1:54" ht="30" customHeight="1" x14ac:dyDescent="0.25">
      <c r="D14" s="5" t="e" vm="208">
        <f>_xlfn.IMAGE(_xlfn.CONCAT("https://raw.githubusercontent.com/ItsCryp7iC/Genshin-Image-Hosting/main/Characters/",CharacterDetailsImg[[#This Row],[Name]],".png"),CharacterDetailsImg[[#This Row],[Name]])</f>
        <v>#VALUE!</v>
      </c>
      <c r="E14" s="2" t="s">
        <v>222</v>
      </c>
      <c r="F14" s="2" t="e" vm="5">
        <f>$AR$3</f>
        <v>#VALUE!</v>
      </c>
      <c r="G14" s="2" t="e" vm="91">
        <f>$AU$5</f>
        <v>#VALUE!</v>
      </c>
      <c r="H14" s="18">
        <v>1</v>
      </c>
      <c r="I14" s="2" t="e" vm="209">
        <f>$P$5</f>
        <v>#VALUE!</v>
      </c>
      <c r="J14" s="2" t="e" vm="210">
        <f>$T$8</f>
        <v>#VALUE!</v>
      </c>
      <c r="K14" s="2" t="e" vm="211">
        <f>$AF$17</f>
        <v>#VALUE!</v>
      </c>
      <c r="L14" s="2" t="e" vm="115">
        <f>$Z$9</f>
        <v>#VALUE!</v>
      </c>
      <c r="M14" s="2" t="e" vm="212">
        <f>$AI$8</f>
        <v>#VALUE!</v>
      </c>
      <c r="N14" s="6" t="e" vm="97">
        <f>IF(OR(
E14="TravelerAnemo",
E14="TravelerGeo",
E14="TravelerElectro",
E14="TravelerDendro",
E14="TravelerHydro",
E14="TravelerPyro",
E14="TravelerCryo"),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P14" s="2" t="e" vm="213">
        <f>_xlfn.IMAGE(_xlfn.CONCAT("https://raw.githubusercontent.com/ItsCryp7iC/Genshin-Image-Hosting/main/WorldBoss/",WorldBossImg[[#This Row],[Name]],".png"),WorldBossImg[[#This Row],[Name]])</f>
        <v>#VALUE!</v>
      </c>
      <c r="Q14" s="3" t="s">
        <v>223</v>
      </c>
      <c r="R14" s="3" t="s">
        <v>224</v>
      </c>
      <c r="T14" s="2" t="e" vm="214">
        <f>_xlfn.IMAGE(_xlfn.CONCAT("https://raw.githubusercontent.com/ItsCryp7iC/Genshin-Image-Hosting/main/WeeklyBoss/",WeeklyBossImg[[#This Row],[Name]],".png"),WeeklyBossImg[[#This Row],[Name]])</f>
        <v>#VALUE!</v>
      </c>
      <c r="U14" s="3" t="s">
        <v>203</v>
      </c>
      <c r="V14" s="3" t="s">
        <v>225</v>
      </c>
      <c r="X14" s="3" t="s">
        <v>440</v>
      </c>
      <c r="Y14" s="3" t="s">
        <v>453</v>
      </c>
      <c r="Z14" s="2" t="e" vm="215">
        <f>_xlfn.IMAGE(_xlfn.CONCAT("https://raw.githubusercontent.com/ItsCryp7iC/Genshin-Image-Hosting/main/MonsterDrops/3Star/",MonsterMaterialsImg[[#This Row],[3*Name]],".png"),MonsterMaterialsImg[[#This Row],[3*Name]])</f>
        <v>#VALUE!</v>
      </c>
      <c r="AA14" s="3" t="s">
        <v>447</v>
      </c>
      <c r="AB14" s="3" t="e" vm="216">
        <f>_xlfn.IMAGE(_xlfn.CONCAT("https://raw.githubusercontent.com/ItsCryp7iC/Genshin-Image-Hosting/main/MonsterDrops/2Star/",MonsterMaterialsImg[[#This Row],[2*Name]],".png"),MonsterMaterialsImg[[#This Row],[2*Name]])</f>
        <v>#VALUE!</v>
      </c>
      <c r="AC14" s="3" t="s">
        <v>441</v>
      </c>
      <c r="AD14" s="3" t="e" vm="217">
        <f>_xlfn.IMAGE(_xlfn.CONCAT("https://raw.githubusercontent.com/ItsCryp7iC/Genshin-Image-Hosting/main/MonsterDrops/1Star/",MonsterMaterialsImg[[#This Row],[1*Name]],".png"),MonsterMaterialsImg[[#This Row],[1*Name]])</f>
        <v>#VALUE!</v>
      </c>
      <c r="AF14" s="2" t="e" vm="218">
        <f>_xlfn.IMAGE(_xlfn.CONCAT("https://raw.githubusercontent.com/ItsCryp7iC/Genshin-Image-Hosting/main/TalentBooks/",TalentBooksImg[[#This Row],[Name]],".png"),TalentBooksImg[[#This Row],[Name]])</f>
        <v>#VALUE!</v>
      </c>
      <c r="AG14" s="3" t="s">
        <v>227</v>
      </c>
      <c r="AI14" s="2" t="e" vm="219">
        <f>_xlfn.IMAGE(_xlfn.CONCAT("https://raw.githubusercontent.com/ItsCryp7iC/Genshin-Image-Hosting/main/LocalSpecialties/",LocalSpecialtiesImg[[#This Row],[Name]],".png"),LocalSpecialtiesImg[[#This Row],[Name]])</f>
        <v>#VALUE!</v>
      </c>
      <c r="AJ14" s="3" t="s">
        <v>228</v>
      </c>
      <c r="AL14" s="2" t="e" vm="220">
        <f>_xlfn.IMAGE(_xlfn.CONCAT("https://raw.githubusercontent.com/ItsCryp7iC/Genshin-Image-Hosting/main/Gems/",GemsImg[[#This Row],[Name]],".png"),GemsImg[[#This Row],[Name]])</f>
        <v>#VALUE!</v>
      </c>
      <c r="AM14" s="3" t="s">
        <v>229</v>
      </c>
      <c r="AR14"/>
      <c r="AX14" s="2" t="e" vm="221">
        <f>_xlfn.IMAGE(_xlfn.CONCAT("https://raw.githubusercontent.com/ItsCryp7iC/Genshin-Image-Hosting/main/Weapons/",WeaponsImg[[#This Row],[Name]],".png"),WeaponsImg[[#This Row],[Name]])</f>
        <v>#VALUE!</v>
      </c>
      <c r="AY14" s="3" t="s">
        <v>230</v>
      </c>
      <c r="BA14" s="2" t="e" vm="222">
        <f>_xlfn.IMAGE(_xlfn.CONCAT("https://raw.githubusercontent.com/ItsCryp7iC/Genshin-Image-Hosting/main/WeaponMaterials/",WeaponMaterialsImg[[#This Row],[Name]],".png"),WeaponMaterialsImg[[#This Row],[Name]])</f>
        <v>#VALUE!</v>
      </c>
      <c r="BB14" s="3" t="s">
        <v>231</v>
      </c>
    </row>
    <row r="15" spans="1:54" ht="30" customHeight="1" x14ac:dyDescent="0.25">
      <c r="D15" s="5" t="e" vm="223">
        <f>_xlfn.IMAGE(_xlfn.CONCAT("https://raw.githubusercontent.com/ItsCryp7iC/Genshin-Image-Hosting/main/Characters/",CharacterDetailsImg[[#This Row],[Name]],".png"),CharacterDetailsImg[[#This Row],[Name]])</f>
        <v>#VALUE!</v>
      </c>
      <c r="E15" s="2" t="s">
        <v>232</v>
      </c>
      <c r="F15" s="2" t="e" vm="5">
        <f>$AR$3</f>
        <v>#VALUE!</v>
      </c>
      <c r="G15" s="2" t="e" vm="28">
        <f>$AU$6</f>
        <v>#VALUE!</v>
      </c>
      <c r="H15" s="18">
        <v>3.7</v>
      </c>
      <c r="I15" s="2" t="e" vm="224">
        <f>$P$25</f>
        <v>#VALUE!</v>
      </c>
      <c r="J15" s="2" t="e" vm="93">
        <f>$T$25</f>
        <v>#VALUE!</v>
      </c>
      <c r="K15" s="2" t="e" vm="225">
        <f>$AF$23</f>
        <v>#VALUE!</v>
      </c>
      <c r="L15" s="2" t="e" vm="75">
        <f>$Z$11</f>
        <v>#VALUE!</v>
      </c>
      <c r="M15" s="2" t="e" vm="226">
        <f>$AI$3</f>
        <v>#VALUE!</v>
      </c>
      <c r="N15" s="6" t="e" vm="34">
        <f>IF(OR(
E15="TravelerAnemo",
E15="TravelerGeo",
E15="TravelerElectro",
E15="TravelerDendro",
E15="TravelerHydro",
E15="TravelerPyro",
E15="TravelerCryo"),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P15" s="2" t="e" vm="227">
        <f>_xlfn.IMAGE(_xlfn.CONCAT("https://raw.githubusercontent.com/ItsCryp7iC/Genshin-Image-Hosting/main/WorldBoss/",WorldBossImg[[#This Row],[Name]],".png"),WorldBossImg[[#This Row],[Name]])</f>
        <v>#VALUE!</v>
      </c>
      <c r="Q15" s="3" t="s">
        <v>233</v>
      </c>
      <c r="R15" s="3" t="s">
        <v>234</v>
      </c>
      <c r="T15" s="2" t="e" vm="228">
        <f>_xlfn.IMAGE(_xlfn.CONCAT("https://raw.githubusercontent.com/ItsCryp7iC/Genshin-Image-Hosting/main/WeeklyBoss/",WeeklyBossImg[[#This Row],[Name]],".png"),WeeklyBossImg[[#This Row],[Name]])</f>
        <v>#VALUE!</v>
      </c>
      <c r="U15" s="3" t="s">
        <v>235</v>
      </c>
      <c r="V15" s="3" t="s">
        <v>236</v>
      </c>
      <c r="X15" s="3" t="s">
        <v>458</v>
      </c>
      <c r="Y15" s="3" t="s">
        <v>471</v>
      </c>
      <c r="Z15" s="2" t="e" vm="229">
        <f>_xlfn.IMAGE(_xlfn.CONCAT("https://raw.githubusercontent.com/ItsCryp7iC/Genshin-Image-Hosting/main/MonsterDrops/3Star/",MonsterMaterialsImg[[#This Row],[3*Name]],".png"),MonsterMaterialsImg[[#This Row],[3*Name]])</f>
        <v>#VALUE!</v>
      </c>
      <c r="AA15" s="3" t="s">
        <v>465</v>
      </c>
      <c r="AB15" s="3" t="e" vm="230">
        <f>_xlfn.IMAGE(_xlfn.CONCAT("https://raw.githubusercontent.com/ItsCryp7iC/Genshin-Image-Hosting/main/MonsterDrops/2Star/",MonsterMaterialsImg[[#This Row],[2*Name]],".png"),MonsterMaterialsImg[[#This Row],[2*Name]])</f>
        <v>#VALUE!</v>
      </c>
      <c r="AC15" s="3" t="s">
        <v>459</v>
      </c>
      <c r="AD15" s="3" t="e" vm="231">
        <f>_xlfn.IMAGE(_xlfn.CONCAT("https://raw.githubusercontent.com/ItsCryp7iC/Genshin-Image-Hosting/main/MonsterDrops/1Star/",MonsterMaterialsImg[[#This Row],[1*Name]],".png"),MonsterMaterialsImg[[#This Row],[1*Name]])</f>
        <v>#VALUE!</v>
      </c>
      <c r="AF15" s="2" t="e" vm="232">
        <f>_xlfn.IMAGE(_xlfn.CONCAT("https://raw.githubusercontent.com/ItsCryp7iC/Genshin-Image-Hosting/main/TalentBooks/",TalentBooksImg[[#This Row],[Name]],".png"),TalentBooksImg[[#This Row],[Name]])</f>
        <v>#VALUE!</v>
      </c>
      <c r="AG15" s="3" t="s">
        <v>239</v>
      </c>
      <c r="AI15" s="2" t="e" vm="233">
        <f>_xlfn.IMAGE(_xlfn.CONCAT("https://raw.githubusercontent.com/ItsCryp7iC/Genshin-Image-Hosting/main/LocalSpecialties/",LocalSpecialtiesImg[[#This Row],[Name]],".png"),LocalSpecialtiesImg[[#This Row],[Name]])</f>
        <v>#VALUE!</v>
      </c>
      <c r="AJ15" s="3" t="s">
        <v>240</v>
      </c>
      <c r="AL15" s="2" t="e" vm="234">
        <f>_xlfn.IMAGE(_xlfn.CONCAT("https://raw.githubusercontent.com/ItsCryp7iC/Genshin-Image-Hosting/main/Gems/",GemsImg[[#This Row],[Name]],".png"),GemsImg[[#This Row],[Name]])</f>
        <v>#VALUE!</v>
      </c>
      <c r="AM15" s="3" t="s">
        <v>900</v>
      </c>
      <c r="AX15" s="2" t="e" vm="235">
        <f>_xlfn.IMAGE(_xlfn.CONCAT("https://raw.githubusercontent.com/ItsCryp7iC/Genshin-Image-Hosting/main/Weapons/",WeaponsImg[[#This Row],[Name]],".png"),WeaponsImg[[#This Row],[Name]])</f>
        <v>#VALUE!</v>
      </c>
      <c r="AY15" s="3" t="s">
        <v>241</v>
      </c>
      <c r="BA15" s="2" t="e" vm="236">
        <f>_xlfn.IMAGE(_xlfn.CONCAT("https://raw.githubusercontent.com/ItsCryp7iC/Genshin-Image-Hosting/main/WeaponMaterials/",WeaponMaterialsImg[[#This Row],[Name]],".png"),WeaponMaterialsImg[[#This Row],[Name]])</f>
        <v>#VALUE!</v>
      </c>
      <c r="BB15" s="3" t="s">
        <v>242</v>
      </c>
    </row>
    <row r="16" spans="1:54" ht="30" customHeight="1" x14ac:dyDescent="0.25">
      <c r="D16" s="5" t="e" vm="237">
        <f>_xlfn.IMAGE(_xlfn.CONCAT("https://raw.githubusercontent.com/ItsCryp7iC/Genshin-Image-Hosting/main/Characters/",CharacterDetailsImg[[#This Row],[Name]],".png"),CharacterDetailsImg[[#This Row],[Name]])</f>
        <v>#VALUE!</v>
      </c>
      <c r="E16" s="2" t="s">
        <v>243</v>
      </c>
      <c r="F16" s="2" t="e" vm="5">
        <f>$AR$3</f>
        <v>#VALUE!</v>
      </c>
      <c r="G16" s="2" t="e" vm="91">
        <f>$AU$5</f>
        <v>#VALUE!</v>
      </c>
      <c r="H16" s="18">
        <v>2.7</v>
      </c>
      <c r="I16" s="2" t="e" vm="238">
        <f>$P$18</f>
        <v>#VALUE!</v>
      </c>
      <c r="J16" s="2" t="e" vm="239">
        <f>$T$20</f>
        <v>#VALUE!</v>
      </c>
      <c r="K16" s="2" t="e" vm="182">
        <f>$AF$29</f>
        <v>#VALUE!</v>
      </c>
      <c r="L16" s="2" t="e" vm="75">
        <f>$Z$11</f>
        <v>#VALUE!</v>
      </c>
      <c r="M16" s="2" t="e" vm="240">
        <f>$AI$21</f>
        <v>#VALUE!</v>
      </c>
      <c r="N16" s="6" t="e" vm="97">
        <f>IF(OR(
E16="TravelerAnemo",
E16="TravelerGeo",
E16="TravelerElectro",
E16="TravelerDendro",
E16="TravelerHydro",
E16="TravelerPyro",
E16="TravelerCryo"),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P16" s="2" t="e" vm="241">
        <f>_xlfn.IMAGE(_xlfn.CONCAT("https://raw.githubusercontent.com/ItsCryp7iC/Genshin-Image-Hosting/main/WorldBoss/",WorldBossImg[[#This Row],[Name]],".png"),WorldBossImg[[#This Row],[Name]])</f>
        <v>#VALUE!</v>
      </c>
      <c r="Q16" s="3" t="s">
        <v>244</v>
      </c>
      <c r="R16" s="3" t="s">
        <v>245</v>
      </c>
      <c r="T16" s="2" t="e" vm="242">
        <f>_xlfn.IMAGE(_xlfn.CONCAT("https://raw.githubusercontent.com/ItsCryp7iC/Genshin-Image-Hosting/main/WeeklyBoss/",WeeklyBossImg[[#This Row],[Name]],".png"),WeeklyBossImg[[#This Row],[Name]])</f>
        <v>#VALUE!</v>
      </c>
      <c r="U16" s="3" t="s">
        <v>235</v>
      </c>
      <c r="V16" s="3" t="s">
        <v>246</v>
      </c>
      <c r="AF16" s="2" t="e" vm="243">
        <f>_xlfn.IMAGE(_xlfn.CONCAT("https://raw.githubusercontent.com/ItsCryp7iC/Genshin-Image-Hosting/main/TalentBooks/",TalentBooksImg[[#This Row],[Name]],".png"),TalentBooksImg[[#This Row],[Name]])</f>
        <v>#VALUE!</v>
      </c>
      <c r="AG16" s="3" t="s">
        <v>248</v>
      </c>
      <c r="AI16" s="2" t="e" vm="244">
        <f>_xlfn.IMAGE(_xlfn.CONCAT("https://raw.githubusercontent.com/ItsCryp7iC/Genshin-Image-Hosting/main/LocalSpecialties/",LocalSpecialtiesImg[[#This Row],[Name]],".png"),LocalSpecialtiesImg[[#This Row],[Name]])</f>
        <v>#VALUE!</v>
      </c>
      <c r="AJ16" s="3" t="s">
        <v>249</v>
      </c>
      <c r="AL16" s="2" t="e" vm="245">
        <f>_xlfn.IMAGE(_xlfn.CONCAT("https://raw.githubusercontent.com/ItsCryp7iC/Genshin-Image-Hosting/main/Gems/",GemsImg[[#This Row],[Name]],".png"),GemsImg[[#This Row],[Name]])</f>
        <v>#VALUE!</v>
      </c>
      <c r="AM16" s="3" t="s">
        <v>250</v>
      </c>
      <c r="AX16" s="2" t="e" vm="246">
        <f>_xlfn.IMAGE(_xlfn.CONCAT("https://raw.githubusercontent.com/ItsCryp7iC/Genshin-Image-Hosting/main/Weapons/",WeaponsImg[[#This Row],[Name]],".png"),WeaponsImg[[#This Row],[Name]])</f>
        <v>#VALUE!</v>
      </c>
      <c r="AY16" s="3" t="s">
        <v>251</v>
      </c>
      <c r="BA16" s="2" t="e" vm="247">
        <f>_xlfn.IMAGE(_xlfn.CONCAT("https://raw.githubusercontent.com/ItsCryp7iC/Genshin-Image-Hosting/main/WeaponMaterials/",WeaponMaterialsImg[[#This Row],[Name]],".png"),WeaponMaterialsImg[[#This Row],[Name]])</f>
        <v>#VALUE!</v>
      </c>
      <c r="BB16" s="3" t="s">
        <v>252</v>
      </c>
    </row>
    <row r="17" spans="4:54" ht="30" customHeight="1" x14ac:dyDescent="0.25">
      <c r="D17" s="5" t="e" vm="248">
        <f>_xlfn.IMAGE(_xlfn.CONCAT("https://raw.githubusercontent.com/ItsCryp7iC/Genshin-Image-Hosting/main/Characters/",CharacterDetailsImg[[#This Row],[Name]],".png"),CharacterDetailsImg[[#This Row],[Name]])</f>
        <v>#VALUE!</v>
      </c>
      <c r="E17" s="2" t="s">
        <v>253</v>
      </c>
      <c r="F17" s="2" t="e" vm="5">
        <f>$AR$3</f>
        <v>#VALUE!</v>
      </c>
      <c r="G17" s="2" t="e" vm="164">
        <f>$AU$9</f>
        <v>#VALUE!</v>
      </c>
      <c r="H17" s="18">
        <v>3.2</v>
      </c>
      <c r="I17" s="2" t="e" vm="249">
        <f>$P$21</f>
        <v>#VALUE!</v>
      </c>
      <c r="J17" s="2" t="e" vm="30">
        <f>$T$23</f>
        <v>#VALUE!</v>
      </c>
      <c r="K17" s="2" t="e" vm="31">
        <f>$AF$32</f>
        <v>#VALUE!</v>
      </c>
      <c r="L17" s="2" t="e" vm="10">
        <f>$Z$5</f>
        <v>#VALUE!</v>
      </c>
      <c r="M17" s="2" t="e" vm="250">
        <f>$AI$22</f>
        <v>#VALUE!</v>
      </c>
      <c r="N17" s="6" t="e" vm="168">
        <f>IF(OR(
E17="TravelerAnemo",
E17="TravelerGeo",
E17="TravelerElectro",
E17="TravelerDendro",
E17="TravelerHydro",
E17="TravelerPyro",
E17="TravelerCryo"),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P17" s="2" t="e" vm="251">
        <f>_xlfn.IMAGE(_xlfn.CONCAT("https://raw.githubusercontent.com/ItsCryp7iC/Genshin-Image-Hosting/main/WorldBoss/",WorldBossImg[[#This Row],[Name]],".png"),WorldBossImg[[#This Row],[Name]])</f>
        <v>#VALUE!</v>
      </c>
      <c r="Q17" s="3" t="s">
        <v>254</v>
      </c>
      <c r="R17" s="3" t="s">
        <v>255</v>
      </c>
      <c r="T17" s="2" t="e" vm="252">
        <f>_xlfn.IMAGE(_xlfn.CONCAT("https://raw.githubusercontent.com/ItsCryp7iC/Genshin-Image-Hosting/main/WeeklyBoss/",WeeklyBossImg[[#This Row],[Name]],".png"),WeeklyBossImg[[#This Row],[Name]])</f>
        <v>#VALUE!</v>
      </c>
      <c r="U17" s="3" t="s">
        <v>235</v>
      </c>
      <c r="V17" s="3" t="s">
        <v>256</v>
      </c>
      <c r="AF17" s="2" t="e" vm="253">
        <f>_xlfn.IMAGE(_xlfn.CONCAT("https://raw.githubusercontent.com/ItsCryp7iC/Genshin-Image-Hosting/main/TalentBooks/",TalentBooksImg[[#This Row],[Name]],".png"),TalentBooksImg[[#This Row],[Name]])</f>
        <v>#VALUE!</v>
      </c>
      <c r="AG17" s="3" t="s">
        <v>258</v>
      </c>
      <c r="AI17" s="2" t="e" vm="254">
        <f>_xlfn.IMAGE(_xlfn.CONCAT("https://raw.githubusercontent.com/ItsCryp7iC/Genshin-Image-Hosting/main/LocalSpecialties/",LocalSpecialtiesImg[[#This Row],[Name]],".png"),LocalSpecialtiesImg[[#This Row],[Name]])</f>
        <v>#VALUE!</v>
      </c>
      <c r="AJ17" s="3" t="s">
        <v>259</v>
      </c>
      <c r="AL17" s="2" t="e" vm="255">
        <f>_xlfn.IMAGE(_xlfn.CONCAT("https://raw.githubusercontent.com/ItsCryp7iC/Genshin-Image-Hosting/main/Gems/",GemsImg[[#This Row],[Name]],".png"),GemsImg[[#This Row],[Name]])</f>
        <v>#VALUE!</v>
      </c>
      <c r="AM17" s="3" t="s">
        <v>260</v>
      </c>
      <c r="AX17" s="2" t="e" vm="256">
        <f>_xlfn.IMAGE(_xlfn.CONCAT("https://raw.githubusercontent.com/ItsCryp7iC/Genshin-Image-Hosting/main/Weapons/",WeaponsImg[[#This Row],[Name]],".png"),WeaponsImg[[#This Row],[Name]])</f>
        <v>#VALUE!</v>
      </c>
      <c r="AY17" s="3" t="s">
        <v>261</v>
      </c>
      <c r="BA17" s="2" t="e" vm="257">
        <f>_xlfn.IMAGE(_xlfn.CONCAT("https://raw.githubusercontent.com/ItsCryp7iC/Genshin-Image-Hosting/main/WeaponMaterials/",WeaponMaterialsImg[[#This Row],[Name]],".png"),WeaponMaterialsImg[[#This Row],[Name]])</f>
        <v>#VALUE!</v>
      </c>
      <c r="BB17" s="3" t="s">
        <v>262</v>
      </c>
    </row>
    <row r="18" spans="4:54" ht="30" customHeight="1" x14ac:dyDescent="0.25">
      <c r="D18" s="5" t="e" vm="258">
        <f>_xlfn.IMAGE(_xlfn.CONCAT("https://raw.githubusercontent.com/ItsCryp7iC/Genshin-Image-Hosting/main/Characters/",CharacterDetailsImg[[#This Row],[Name]],".png"),CharacterDetailsImg[[#This Row],[Name]])</f>
        <v>#VALUE!</v>
      </c>
      <c r="E18" s="2" t="s">
        <v>263</v>
      </c>
      <c r="F18" s="2" t="e" vm="5">
        <f>$AR$3</f>
        <v>#VALUE!</v>
      </c>
      <c r="G18" s="2" t="e" vm="131">
        <f>$AU$3</f>
        <v>#VALUE!</v>
      </c>
      <c r="H18" s="18">
        <v>4</v>
      </c>
      <c r="I18" s="2" t="e" vm="72">
        <f>$P$26</f>
        <v>#VALUE!</v>
      </c>
      <c r="J18" s="2" t="e" vm="93">
        <f>$T$25</f>
        <v>#VALUE!</v>
      </c>
      <c r="K18" s="2" t="e" vm="259">
        <f>$AF$44</f>
        <v>#VALUE!</v>
      </c>
      <c r="L18" s="2" t="e" vm="260">
        <f>$Z$15</f>
        <v>#VALUE!</v>
      </c>
      <c r="M18" s="2" t="e" vm="261">
        <f>$AI$18</f>
        <v>#VALUE!</v>
      </c>
      <c r="N18" s="6" t="e" vm="135">
        <f>IF(OR(
E18="TravelerAnemo",
E18="TravelerGeo",
E18="TravelerElectro",
E18="TravelerDendro",
E18="TravelerHydro",
E18="TravelerPyro",
E18="TravelerCryo"),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P18" s="2" t="e" vm="262">
        <f>_xlfn.IMAGE(_xlfn.CONCAT("https://raw.githubusercontent.com/ItsCryp7iC/Genshin-Image-Hosting/main/WorldBoss/",WorldBossImg[[#This Row],[Name]],".png"),WorldBossImg[[#This Row],[Name]])</f>
        <v>#VALUE!</v>
      </c>
      <c r="Q18" s="3" t="s">
        <v>264</v>
      </c>
      <c r="R18" s="3" t="s">
        <v>265</v>
      </c>
      <c r="T18" s="2" t="e" vm="263">
        <f>_xlfn.IMAGE(_xlfn.CONCAT("https://raw.githubusercontent.com/ItsCryp7iC/Genshin-Image-Hosting/main/WeeklyBoss/",WeeklyBossImg[[#This Row],[Name]],".png"),WeeklyBossImg[[#This Row],[Name]])</f>
        <v>#VALUE!</v>
      </c>
      <c r="U18" s="3" t="s">
        <v>266</v>
      </c>
      <c r="V18" s="3" t="s">
        <v>267</v>
      </c>
      <c r="AF18" s="2" t="e" vm="264">
        <f>_xlfn.IMAGE(_xlfn.CONCAT("https://raw.githubusercontent.com/ItsCryp7iC/Genshin-Image-Hosting/main/TalentBooks/",TalentBooksImg[[#This Row],[Name]],".png"),TalentBooksImg[[#This Row],[Name]])</f>
        <v>#VALUE!</v>
      </c>
      <c r="AG18" s="3" t="s">
        <v>270</v>
      </c>
      <c r="AI18" s="2" t="e" vm="265">
        <f>_xlfn.IMAGE(_xlfn.CONCAT("https://raw.githubusercontent.com/ItsCryp7iC/Genshin-Image-Hosting/main/LocalSpecialties/",LocalSpecialtiesImg[[#This Row],[Name]],".png"),LocalSpecialtiesImg[[#This Row],[Name]])</f>
        <v>#VALUE!</v>
      </c>
      <c r="AJ18" s="3" t="s">
        <v>271</v>
      </c>
      <c r="AL18" s="2" t="e" vm="266">
        <f>_xlfn.IMAGE(_xlfn.CONCAT("https://raw.githubusercontent.com/ItsCryp7iC/Genshin-Image-Hosting/main/Gems/",GemsImg[[#This Row],[Name]],".png"),GemsImg[[#This Row],[Name]])</f>
        <v>#VALUE!</v>
      </c>
      <c r="AM18" s="3" t="s">
        <v>272</v>
      </c>
      <c r="AX18" s="2" t="e" vm="267">
        <f>_xlfn.IMAGE(_xlfn.CONCAT("https://raw.githubusercontent.com/ItsCryp7iC/Genshin-Image-Hosting/main/Weapons/",WeaponsImg[[#This Row],[Name]],".png"),WeaponsImg[[#This Row],[Name]])</f>
        <v>#VALUE!</v>
      </c>
      <c r="AY18" s="3" t="s">
        <v>273</v>
      </c>
      <c r="BA18" s="2" t="e" vm="268">
        <f>_xlfn.IMAGE(_xlfn.CONCAT("https://raw.githubusercontent.com/ItsCryp7iC/Genshin-Image-Hosting/main/WeaponMaterials/",WeaponMaterialsImg[[#This Row],[Name]],".png"),WeaponMaterialsImg[[#This Row],[Name]])</f>
        <v>#VALUE!</v>
      </c>
      <c r="BB18" s="3" t="s">
        <v>274</v>
      </c>
    </row>
    <row r="19" spans="4:54" ht="30" customHeight="1" x14ac:dyDescent="0.25">
      <c r="D19" s="5" t="e" vm="269">
        <f>_xlfn.IMAGE(_xlfn.CONCAT("https://raw.githubusercontent.com/ItsCryp7iC/Genshin-Image-Hosting/main/Characters/",CharacterDetailsImg[[#This Row],[Name]],".png"),CharacterDetailsImg[[#This Row],[Name]])</f>
        <v>#VALUE!</v>
      </c>
      <c r="E19" s="2" t="s">
        <v>275</v>
      </c>
      <c r="F19" s="2" t="e" vm="5">
        <f>$AR$3</f>
        <v>#VALUE!</v>
      </c>
      <c r="G19" s="2" t="e" vm="112">
        <f>$AU$7</f>
        <v>#VALUE!</v>
      </c>
      <c r="H19" s="18">
        <v>3.1</v>
      </c>
      <c r="I19" s="2" t="e" vm="249">
        <f>$P$21</f>
        <v>#VALUE!</v>
      </c>
      <c r="J19" s="2" t="e" vm="239">
        <f>$T$20</f>
        <v>#VALUE!</v>
      </c>
      <c r="K19" s="2" t="e" vm="270">
        <f>$AF$38</f>
        <v>#VALUE!</v>
      </c>
      <c r="L19" s="2" t="e" vm="271">
        <f>$Z$12</f>
        <v>#VALUE!</v>
      </c>
      <c r="M19" s="2" t="e" vm="272">
        <f>$AI$25</f>
        <v>#VALUE!</v>
      </c>
      <c r="N19" s="6" t="e" vm="117">
        <f>IF(OR(
E19="TravelerAnemo",
E19="TravelerGeo",
E19="TravelerElectro",
E19="TravelerDendro",
E19="TravelerHydro",
E19="TravelerPyro",
E19="TravelerCryo"),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P19" s="2" t="e" vm="273">
        <f>_xlfn.IMAGE(_xlfn.CONCAT("https://raw.githubusercontent.com/ItsCryp7iC/Genshin-Image-Hosting/main/WorldBoss/",WorldBossImg[[#This Row],[Name]],".png"),WorldBossImg[[#This Row],[Name]])</f>
        <v>#VALUE!</v>
      </c>
      <c r="Q19" s="3" t="s">
        <v>276</v>
      </c>
      <c r="R19" s="3" t="s">
        <v>277</v>
      </c>
      <c r="T19" s="2" t="e" vm="274">
        <f>_xlfn.IMAGE(_xlfn.CONCAT("https://raw.githubusercontent.com/ItsCryp7iC/Genshin-Image-Hosting/main/WeeklyBoss/",WeeklyBossImg[[#This Row],[Name]],".png"),WeeklyBossImg[[#This Row],[Name]])</f>
        <v>#VALUE!</v>
      </c>
      <c r="U19" s="3" t="s">
        <v>266</v>
      </c>
      <c r="V19" s="3" t="s">
        <v>278</v>
      </c>
      <c r="AF19" s="2" t="e" vm="275">
        <f>_xlfn.IMAGE(_xlfn.CONCAT("https://raw.githubusercontent.com/ItsCryp7iC/Genshin-Image-Hosting/main/TalentBooks/",TalentBooksImg[[#This Row],[Name]],".png"),TalentBooksImg[[#This Row],[Name]])</f>
        <v>#VALUE!</v>
      </c>
      <c r="AG19" s="3" t="s">
        <v>280</v>
      </c>
      <c r="AI19" s="2" t="e" vm="276">
        <f>_xlfn.IMAGE(_xlfn.CONCAT("https://raw.githubusercontent.com/ItsCryp7iC/Genshin-Image-Hosting/main/LocalSpecialties/",LocalSpecialtiesImg[[#This Row],[Name]],".png"),LocalSpecialtiesImg[[#This Row],[Name]])</f>
        <v>#VALUE!</v>
      </c>
      <c r="AJ19" s="3" t="s">
        <v>281</v>
      </c>
      <c r="AL19" s="2" t="e" vm="277">
        <f>_xlfn.IMAGE(_xlfn.CONCAT("https://raw.githubusercontent.com/ItsCryp7iC/Genshin-Image-Hosting/main/Gems/",GemsImg[[#This Row],[Name]],".png"),GemsImg[[#This Row],[Name]])</f>
        <v>#VALUE!</v>
      </c>
      <c r="AM19" s="3" t="s">
        <v>901</v>
      </c>
      <c r="AX19" s="2" t="e" vm="278">
        <f>_xlfn.IMAGE(_xlfn.CONCAT("https://raw.githubusercontent.com/ItsCryp7iC/Genshin-Image-Hosting/main/Weapons/",WeaponsImg[[#This Row],[Name]],".png"),WeaponsImg[[#This Row],[Name]])</f>
        <v>#VALUE!</v>
      </c>
      <c r="AY19" s="3" t="s">
        <v>282</v>
      </c>
      <c r="BA19" s="2" t="e" vm="279">
        <f>_xlfn.IMAGE(_xlfn.CONCAT("https://raw.githubusercontent.com/ItsCryp7iC/Genshin-Image-Hosting/main/WeaponMaterials/",WeaponMaterialsImg[[#This Row],[Name]],".png"),WeaponMaterialsImg[[#This Row],[Name]])</f>
        <v>#VALUE!</v>
      </c>
      <c r="BB19" s="3" t="s">
        <v>283</v>
      </c>
    </row>
    <row r="20" spans="4:54" ht="30" customHeight="1" x14ac:dyDescent="0.25">
      <c r="D20" s="5" t="e" vm="280">
        <f>_xlfn.IMAGE(_xlfn.CONCAT("https://raw.githubusercontent.com/ItsCryp7iC/Genshin-Image-Hosting/main/Characters/",CharacterDetailsImg[[#This Row],[Name]],".png"),CharacterDetailsImg[[#This Row],[Name]])</f>
        <v>#VALUE!</v>
      </c>
      <c r="E20" s="2" t="s">
        <v>284</v>
      </c>
      <c r="F20" s="2" t="e" vm="5">
        <f>$AR$3</f>
        <v>#VALUE!</v>
      </c>
      <c r="G20" s="2" t="e" vm="164">
        <f>$AU$9</f>
        <v>#VALUE!</v>
      </c>
      <c r="H20" s="18">
        <v>1</v>
      </c>
      <c r="I20" s="2" t="e" vm="165">
        <f>$P$4</f>
        <v>#VALUE!</v>
      </c>
      <c r="J20" s="2" t="e" vm="281">
        <f>$T$6</f>
        <v>#VALUE!</v>
      </c>
      <c r="K20" s="2" t="e" vm="211">
        <f>$AF$17</f>
        <v>#VALUE!</v>
      </c>
      <c r="L20" s="2" t="e" vm="10">
        <f>$Z$5</f>
        <v>#VALUE!</v>
      </c>
      <c r="M20" s="2" t="e" vm="282">
        <f>$AI$43</f>
        <v>#VALUE!</v>
      </c>
      <c r="N20" s="6" t="e" vm="168">
        <f>IF(OR(
E20="TravelerAnemo",
E20="TravelerGeo",
E20="TravelerElectro",
E20="TravelerDendro",
E20="TravelerHydro",
E20="TravelerPyro",
E20="TravelerCryo"),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P20" s="2" t="e" vm="283">
        <f>_xlfn.IMAGE(_xlfn.CONCAT("https://raw.githubusercontent.com/ItsCryp7iC/Genshin-Image-Hosting/main/WorldBoss/",WorldBossImg[[#This Row],[Name]],".png"),WorldBossImg[[#This Row],[Name]])</f>
        <v>#VALUE!</v>
      </c>
      <c r="Q20" s="3" t="s">
        <v>285</v>
      </c>
      <c r="R20" s="3" t="s">
        <v>286</v>
      </c>
      <c r="T20" s="2" t="e" vm="284">
        <f>_xlfn.IMAGE(_xlfn.CONCAT("https://raw.githubusercontent.com/ItsCryp7iC/Genshin-Image-Hosting/main/WeeklyBoss/",WeeklyBossImg[[#This Row],[Name]],".png"),WeeklyBossImg[[#This Row],[Name]])</f>
        <v>#VALUE!</v>
      </c>
      <c r="U20" s="3" t="s">
        <v>266</v>
      </c>
      <c r="V20" s="3" t="s">
        <v>287</v>
      </c>
      <c r="AF20" s="2" t="e" vm="285">
        <f>_xlfn.IMAGE(_xlfn.CONCAT("https://raw.githubusercontent.com/ItsCryp7iC/Genshin-Image-Hosting/main/TalentBooks/",TalentBooksImg[[#This Row],[Name]],".png"),TalentBooksImg[[#This Row],[Name]])</f>
        <v>#VALUE!</v>
      </c>
      <c r="AG20" s="3" t="s">
        <v>289</v>
      </c>
      <c r="AI20" s="2" t="e" vm="286">
        <f>_xlfn.IMAGE(_xlfn.CONCAT("https://raw.githubusercontent.com/ItsCryp7iC/Genshin-Image-Hosting/main/LocalSpecialties/",LocalSpecialtiesImg[[#This Row],[Name]],".png"),LocalSpecialtiesImg[[#This Row],[Name]])</f>
        <v>#VALUE!</v>
      </c>
      <c r="AJ20" s="3" t="s">
        <v>290</v>
      </c>
      <c r="AL20" s="2" t="e" vm="287">
        <f>_xlfn.IMAGE(_xlfn.CONCAT("https://raw.githubusercontent.com/ItsCryp7iC/Genshin-Image-Hosting/main/Gems/",GemsImg[[#This Row],[Name]],".png"),GemsImg[[#This Row],[Name]])</f>
        <v>#VALUE!</v>
      </c>
      <c r="AM20" s="3" t="s">
        <v>291</v>
      </c>
      <c r="AX20" s="2" t="e" vm="288">
        <f>_xlfn.IMAGE(_xlfn.CONCAT("https://raw.githubusercontent.com/ItsCryp7iC/Genshin-Image-Hosting/main/Weapons/",WeaponsImg[[#This Row],[Name]],".png"),WeaponsImg[[#This Row],[Name]])</f>
        <v>#VALUE!</v>
      </c>
      <c r="AY20" s="3" t="s">
        <v>292</v>
      </c>
      <c r="BA20" s="2" t="e" vm="289">
        <f>_xlfn.IMAGE(_xlfn.CONCAT("https://raw.githubusercontent.com/ItsCryp7iC/Genshin-Image-Hosting/main/WeaponMaterials/",WeaponMaterialsImg[[#This Row],[Name]],".png"),WeaponMaterialsImg[[#This Row],[Name]])</f>
        <v>#VALUE!</v>
      </c>
      <c r="BB20" s="3" t="s">
        <v>293</v>
      </c>
    </row>
    <row r="21" spans="4:54" ht="30" customHeight="1" x14ac:dyDescent="0.25">
      <c r="D21" s="5" t="e" vm="290">
        <f>_xlfn.IMAGE(_xlfn.CONCAT("https://raw.githubusercontent.com/ItsCryp7iC/Genshin-Image-Hosting/main/Characters/",CharacterDetailsImg[[#This Row],[Name]],".png"),CharacterDetailsImg[[#This Row],[Name]])</f>
        <v>#VALUE!</v>
      </c>
      <c r="E21" s="2" t="s">
        <v>294</v>
      </c>
      <c r="F21" s="2" t="e" vm="5">
        <f>$AR$3</f>
        <v>#VALUE!</v>
      </c>
      <c r="G21" s="2" t="e" vm="131">
        <f>$AU$3</f>
        <v>#VALUE!</v>
      </c>
      <c r="H21" s="18">
        <v>1</v>
      </c>
      <c r="M21" s="2" t="e" vm="55">
        <f>$AI$44</f>
        <v>#VALUE!</v>
      </c>
      <c r="N21" s="6" t="e" vm="291">
        <f>IF(OR(
E21="TravelerAnemo",
E21="TravelerGeo",
E21="TravelerElectro",
E21="TravelerDendro",
E21="TravelerHydro",
E21="TravelerPyro",
E21="TravelerCryo"),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P21" s="2" t="e" vm="292">
        <f>_xlfn.IMAGE(_xlfn.CONCAT("https://raw.githubusercontent.com/ItsCryp7iC/Genshin-Image-Hosting/main/WorldBoss/",WorldBossImg[[#This Row],[Name]],".png"),WorldBossImg[[#This Row],[Name]])</f>
        <v>#VALUE!</v>
      </c>
      <c r="Q21" s="3" t="s">
        <v>295</v>
      </c>
      <c r="R21" s="3" t="s">
        <v>296</v>
      </c>
      <c r="T21" s="2" t="e" vm="293">
        <f>_xlfn.IMAGE(_xlfn.CONCAT("https://raw.githubusercontent.com/ItsCryp7iC/Genshin-Image-Hosting/main/WeeklyBoss/",WeeklyBossImg[[#This Row],[Name]],".png"),WeeklyBossImg[[#This Row],[Name]])</f>
        <v>#VALUE!</v>
      </c>
      <c r="U21" s="3" t="s">
        <v>38</v>
      </c>
      <c r="V21" s="3" t="s">
        <v>297</v>
      </c>
      <c r="AF21" s="2" t="e" vm="294">
        <f>_xlfn.IMAGE(_xlfn.CONCAT("https://raw.githubusercontent.com/ItsCryp7iC/Genshin-Image-Hosting/main/TalentBooks/",TalentBooksImg[[#This Row],[Name]],".png"),TalentBooksImg[[#This Row],[Name]])</f>
        <v>#VALUE!</v>
      </c>
      <c r="AG21" s="3" t="s">
        <v>300</v>
      </c>
      <c r="AI21" s="2" t="e" vm="295">
        <f>_xlfn.IMAGE(_xlfn.CONCAT("https://raw.githubusercontent.com/ItsCryp7iC/Genshin-Image-Hosting/main/LocalSpecialties/",LocalSpecialtiesImg[[#This Row],[Name]],".png"),LocalSpecialtiesImg[[#This Row],[Name]])</f>
        <v>#VALUE!</v>
      </c>
      <c r="AJ21" s="3" t="s">
        <v>301</v>
      </c>
      <c r="AL21" s="2" t="e" vm="296">
        <f>_xlfn.IMAGE(_xlfn.CONCAT("https://raw.githubusercontent.com/ItsCryp7iC/Genshin-Image-Hosting/main/Gems/",GemsImg[[#This Row],[Name]],".png"),GemsImg[[#This Row],[Name]])</f>
        <v>#VALUE!</v>
      </c>
      <c r="AM21" s="3" t="s">
        <v>302</v>
      </c>
      <c r="AX21" s="2" t="e" vm="297">
        <f>_xlfn.IMAGE(_xlfn.CONCAT("https://raw.githubusercontent.com/ItsCryp7iC/Genshin-Image-Hosting/main/Weapons/",WeaponsImg[[#This Row],[Name]],".png"),WeaponsImg[[#This Row],[Name]])</f>
        <v>#VALUE!</v>
      </c>
      <c r="AY21" s="3" t="s">
        <v>303</v>
      </c>
      <c r="BA21" s="2" t="e" vm="298">
        <f>_xlfn.IMAGE(_xlfn.CONCAT("https://raw.githubusercontent.com/ItsCryp7iC/Genshin-Image-Hosting/main/WeaponMaterials/",WeaponMaterialsImg[[#This Row],[Name]],".png"),WeaponMaterialsImg[[#This Row],[Name]])</f>
        <v>#VALUE!</v>
      </c>
      <c r="BB21" s="3" t="s">
        <v>304</v>
      </c>
    </row>
    <row r="22" spans="4:54" ht="30" customHeight="1" x14ac:dyDescent="0.25">
      <c r="D22" s="5" t="e" vm="299">
        <f>_xlfn.IMAGE(_xlfn.CONCAT("https://raw.githubusercontent.com/ItsCryp7iC/Genshin-Image-Hosting/main/Characters/",CharacterDetailsImg[[#This Row],[Name]],".png"),CharacterDetailsImg[[#This Row],[Name]])</f>
        <v>#VALUE!</v>
      </c>
      <c r="E22" s="2" t="s">
        <v>305</v>
      </c>
      <c r="F22" s="2" t="e" vm="5">
        <f>$AR$3</f>
        <v>#VALUE!</v>
      </c>
      <c r="G22" s="2" t="e" vm="6">
        <f>$AU$4</f>
        <v>#VALUE!</v>
      </c>
      <c r="H22" s="18">
        <v>1.1000000000000001</v>
      </c>
      <c r="M22" s="2" t="e" vm="55">
        <f>$AI$44</f>
        <v>#VALUE!</v>
      </c>
      <c r="N22" s="6" t="e" vm="291">
        <f>IF(OR(
E22="TravelerAnemo",
E22="TravelerGeo",
E22="TravelerElectro",
E22="TravelerDendro",
E22="TravelerHydro",
E22="TravelerPyro",
E22="TravelerCryo"),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P22" s="2" t="e" vm="300">
        <f>_xlfn.IMAGE(_xlfn.CONCAT("https://raw.githubusercontent.com/ItsCryp7iC/Genshin-Image-Hosting/main/WorldBoss/",WorldBossImg[[#This Row],[Name]],".png"),WorldBossImg[[#This Row],[Name]])</f>
        <v>#VALUE!</v>
      </c>
      <c r="Q22" s="3" t="s">
        <v>306</v>
      </c>
      <c r="R22" s="3" t="s">
        <v>307</v>
      </c>
      <c r="T22" s="2" t="e" vm="301">
        <f>_xlfn.IMAGE(_xlfn.CONCAT("https://raw.githubusercontent.com/ItsCryp7iC/Genshin-Image-Hosting/main/WeeklyBoss/",WeeklyBossImg[[#This Row],[Name]],".png"),WeeklyBossImg[[#This Row],[Name]])</f>
        <v>#VALUE!</v>
      </c>
      <c r="U22" s="3" t="s">
        <v>38</v>
      </c>
      <c r="V22" s="3" t="s">
        <v>308</v>
      </c>
      <c r="AF22" s="2" t="e" vm="302">
        <f>_xlfn.IMAGE(_xlfn.CONCAT("https://raw.githubusercontent.com/ItsCryp7iC/Genshin-Image-Hosting/main/TalentBooks/",TalentBooksImg[[#This Row],[Name]],".png"),TalentBooksImg[[#This Row],[Name]])</f>
        <v>#VALUE!</v>
      </c>
      <c r="AG22" s="3" t="s">
        <v>310</v>
      </c>
      <c r="AI22" s="2" t="e" vm="303">
        <f>_xlfn.IMAGE(_xlfn.CONCAT("https://raw.githubusercontent.com/ItsCryp7iC/Genshin-Image-Hosting/main/LocalSpecialties/",LocalSpecialtiesImg[[#This Row],[Name]],".png"),LocalSpecialtiesImg[[#This Row],[Name]])</f>
        <v>#VALUE!</v>
      </c>
      <c r="AJ22" s="3" t="s">
        <v>311</v>
      </c>
      <c r="AL22" s="2" t="e" vm="304">
        <f>_xlfn.IMAGE(_xlfn.CONCAT("https://raw.githubusercontent.com/ItsCryp7iC/Genshin-Image-Hosting/main/Gems/",GemsImg[[#This Row],[Name]],".png"),GemsImg[[#This Row],[Name]])</f>
        <v>#VALUE!</v>
      </c>
      <c r="AM22" s="3" t="s">
        <v>312</v>
      </c>
      <c r="AX22" s="2" t="e" vm="305">
        <f>_xlfn.IMAGE(_xlfn.CONCAT("https://raw.githubusercontent.com/ItsCryp7iC/Genshin-Image-Hosting/main/Weapons/",WeaponsImg[[#This Row],[Name]],".png"),WeaponsImg[[#This Row],[Name]])</f>
        <v>#VALUE!</v>
      </c>
      <c r="AY22" s="3" t="s">
        <v>313</v>
      </c>
      <c r="BA22" s="2" t="e" vm="306">
        <f>_xlfn.IMAGE(_xlfn.CONCAT("https://raw.githubusercontent.com/ItsCryp7iC/Genshin-Image-Hosting/main/WeaponMaterials/",WeaponMaterialsImg[[#This Row],[Name]],".png"),WeaponMaterialsImg[[#This Row],[Name]])</f>
        <v>#VALUE!</v>
      </c>
      <c r="BB22" s="3" t="s">
        <v>314</v>
      </c>
    </row>
    <row r="23" spans="4:54" ht="30" customHeight="1" x14ac:dyDescent="0.25">
      <c r="D23" s="5" t="e" vm="307">
        <f>_xlfn.IMAGE(_xlfn.CONCAT("https://raw.githubusercontent.com/ItsCryp7iC/Genshin-Image-Hosting/main/Characters/",CharacterDetailsImg[[#This Row],[Name]],".png"),CharacterDetailsImg[[#This Row],[Name]])</f>
        <v>#VALUE!</v>
      </c>
      <c r="E23" s="2" t="s">
        <v>315</v>
      </c>
      <c r="F23" s="2" t="e" vm="5">
        <f>$AR$3</f>
        <v>#VALUE!</v>
      </c>
      <c r="G23" s="2" t="e" vm="91">
        <f>$AU$5</f>
        <v>#VALUE!</v>
      </c>
      <c r="H23" s="18">
        <v>2</v>
      </c>
      <c r="M23" s="2" t="e" vm="55">
        <f>$AI$44</f>
        <v>#VALUE!</v>
      </c>
      <c r="N23" s="6" t="e" vm="291">
        <f>IF(OR(
E23="TravelerAnemo",
E23="TravelerGeo",
E23="TravelerElectro",
E23="TravelerDendro",
E23="TravelerHydro",
E23="TravelerPyro",
E23="TravelerCryo"),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P23" s="2" t="e" vm="308">
        <f>_xlfn.IMAGE(_xlfn.CONCAT("https://raw.githubusercontent.com/ItsCryp7iC/Genshin-Image-Hosting/main/WorldBoss/",WorldBossImg[[#This Row],[Name]],".png"),WorldBossImg[[#This Row],[Name]])</f>
        <v>#VALUE!</v>
      </c>
      <c r="Q23" s="3" t="s">
        <v>316</v>
      </c>
      <c r="R23" s="3" t="s">
        <v>317</v>
      </c>
      <c r="T23" s="2" t="e" vm="309">
        <f>_xlfn.IMAGE(_xlfn.CONCAT("https://raw.githubusercontent.com/ItsCryp7iC/Genshin-Image-Hosting/main/WeeklyBoss/",WeeklyBossImg[[#This Row],[Name]],".png"),WeeklyBossImg[[#This Row],[Name]])</f>
        <v>#VALUE!</v>
      </c>
      <c r="U23" s="3" t="s">
        <v>38</v>
      </c>
      <c r="V23" s="3" t="s">
        <v>318</v>
      </c>
      <c r="AF23" s="2" t="e" vm="310">
        <f>_xlfn.IMAGE(_xlfn.CONCAT("https://raw.githubusercontent.com/ItsCryp7iC/Genshin-Image-Hosting/main/TalentBooks/",TalentBooksImg[[#This Row],[Name]],".png"),TalentBooksImg[[#This Row],[Name]])</f>
        <v>#VALUE!</v>
      </c>
      <c r="AG23" s="3" t="s">
        <v>320</v>
      </c>
      <c r="AI23" s="2" t="e" vm="311">
        <f>_xlfn.IMAGE(_xlfn.CONCAT("https://raw.githubusercontent.com/ItsCryp7iC/Genshin-Image-Hosting/main/LocalSpecialties/",LocalSpecialtiesImg[[#This Row],[Name]],".png"),LocalSpecialtiesImg[[#This Row],[Name]])</f>
        <v>#VALUE!</v>
      </c>
      <c r="AJ23" s="3" t="s">
        <v>321</v>
      </c>
      <c r="AL23" s="2" t="e" vm="312">
        <f>_xlfn.IMAGE(_xlfn.CONCAT("https://raw.githubusercontent.com/ItsCryp7iC/Genshin-Image-Hosting/main/Gems/",GemsImg[[#This Row],[Name]],".png"),GemsImg[[#This Row],[Name]])</f>
        <v>#VALUE!</v>
      </c>
      <c r="AM23" s="3" t="s">
        <v>902</v>
      </c>
      <c r="AX23" s="2" t="e" vm="313">
        <f>_xlfn.IMAGE(_xlfn.CONCAT("https://raw.githubusercontent.com/ItsCryp7iC/Genshin-Image-Hosting/main/Weapons/",WeaponsImg[[#This Row],[Name]],".png"),WeaponsImg[[#This Row],[Name]])</f>
        <v>#VALUE!</v>
      </c>
      <c r="AY23" s="3" t="s">
        <v>322</v>
      </c>
      <c r="BA23" s="2" t="e" vm="314">
        <f>_xlfn.IMAGE(_xlfn.CONCAT("https://raw.githubusercontent.com/ItsCryp7iC/Genshin-Image-Hosting/main/WeaponMaterials/",WeaponMaterialsImg[[#This Row],[Name]],".png"),WeaponMaterialsImg[[#This Row],[Name]])</f>
        <v>#VALUE!</v>
      </c>
      <c r="BB23" s="3" t="s">
        <v>323</v>
      </c>
    </row>
    <row r="24" spans="4:54" ht="30" customHeight="1" x14ac:dyDescent="0.25">
      <c r="D24" s="5" t="e" vm="315">
        <f>_xlfn.IMAGE(_xlfn.CONCAT("https://raw.githubusercontent.com/ItsCryp7iC/Genshin-Image-Hosting/main/Characters/",CharacterDetailsImg[[#This Row],[Name]],".png"),CharacterDetailsImg[[#This Row],[Name]])</f>
        <v>#VALUE!</v>
      </c>
      <c r="E24" s="2" t="s">
        <v>324</v>
      </c>
      <c r="F24" s="2" t="e" vm="5">
        <f>$AR$3</f>
        <v>#VALUE!</v>
      </c>
      <c r="G24" s="2" t="e" vm="28">
        <f>$AU$6</f>
        <v>#VALUE!</v>
      </c>
      <c r="H24" s="18">
        <v>3</v>
      </c>
      <c r="M24" s="2" t="e" vm="55">
        <f>$AI$44</f>
        <v>#VALUE!</v>
      </c>
      <c r="N24" s="6" t="e" vm="291">
        <f>IF(OR(
E24="TravelerAnemo",
E24="TravelerGeo",
E24="TravelerElectro",
E24="TravelerDendro",
E24="TravelerHydro",
E24="TravelerPyro",
E24="TravelerCryo"),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P24" s="2" t="e" vm="316">
        <f>_xlfn.IMAGE(_xlfn.CONCAT("https://raw.githubusercontent.com/ItsCryp7iC/Genshin-Image-Hosting/main/WorldBoss/",WorldBossImg[[#This Row],[Name]],".png"),WorldBossImg[[#This Row],[Name]])</f>
        <v>#VALUE!</v>
      </c>
      <c r="Q24" s="3" t="s">
        <v>325</v>
      </c>
      <c r="R24" s="3" t="s">
        <v>326</v>
      </c>
      <c r="T24" s="2" t="e" vm="317">
        <f>_xlfn.IMAGE(_xlfn.CONCAT("https://raw.githubusercontent.com/ItsCryp7iC/Genshin-Image-Hosting/main/WeeklyBoss/",WeeklyBossImg[[#This Row],[Name]],".png"),WeeklyBossImg[[#This Row],[Name]])</f>
        <v>#VALUE!</v>
      </c>
      <c r="U24" s="3" t="s">
        <v>327</v>
      </c>
      <c r="V24" s="3" t="s">
        <v>328</v>
      </c>
      <c r="AF24" s="2" t="e" vm="318">
        <f>_xlfn.IMAGE(_xlfn.CONCAT("https://raw.githubusercontent.com/ItsCryp7iC/Genshin-Image-Hosting/main/TalentBooks/",TalentBooksImg[[#This Row],[Name]],".png"),TalentBooksImg[[#This Row],[Name]])</f>
        <v>#VALUE!</v>
      </c>
      <c r="AG24" s="3" t="s">
        <v>331</v>
      </c>
      <c r="AI24" s="2" t="e" vm="319">
        <f>_xlfn.IMAGE(_xlfn.CONCAT("https://raw.githubusercontent.com/ItsCryp7iC/Genshin-Image-Hosting/main/LocalSpecialties/",LocalSpecialtiesImg[[#This Row],[Name]],".png"),LocalSpecialtiesImg[[#This Row],[Name]])</f>
        <v>#VALUE!</v>
      </c>
      <c r="AJ24" s="3" t="s">
        <v>332</v>
      </c>
      <c r="AL24" s="2" t="e" vm="320">
        <f>_xlfn.IMAGE(_xlfn.CONCAT("https://raw.githubusercontent.com/ItsCryp7iC/Genshin-Image-Hosting/main/Gems/",GemsImg[[#This Row],[Name]],".png"),GemsImg[[#This Row],[Name]])</f>
        <v>#VALUE!</v>
      </c>
      <c r="AM24" s="3" t="s">
        <v>333</v>
      </c>
      <c r="AX24" s="2" t="e" vm="321">
        <f>_xlfn.IMAGE(_xlfn.CONCAT("https://raw.githubusercontent.com/ItsCryp7iC/Genshin-Image-Hosting/main/Weapons/",WeaponsImg[[#This Row],[Name]],".png"),WeaponsImg[[#This Row],[Name]])</f>
        <v>#VALUE!</v>
      </c>
      <c r="AY24" s="3" t="s">
        <v>334</v>
      </c>
      <c r="BA24" s="2" t="e" vm="322">
        <f>_xlfn.IMAGE(_xlfn.CONCAT("https://raw.githubusercontent.com/ItsCryp7iC/Genshin-Image-Hosting/main/WeaponMaterials/",WeaponMaterialsImg[[#This Row],[Name]],".png"),WeaponMaterialsImg[[#This Row],[Name]])</f>
        <v>#VALUE!</v>
      </c>
      <c r="BB24" s="3" t="s">
        <v>335</v>
      </c>
    </row>
    <row r="25" spans="4:54" ht="30" customHeight="1" x14ac:dyDescent="0.25">
      <c r="D25" s="5" t="e" vm="323">
        <f>_xlfn.IMAGE(_xlfn.CONCAT("https://raw.githubusercontent.com/ItsCryp7iC/Genshin-Image-Hosting/main/Characters/",CharacterDetailsImg[[#This Row],[Name]],".png"),CharacterDetailsImg[[#This Row],[Name]])</f>
        <v>#VALUE!</v>
      </c>
      <c r="E25" s="2" t="s">
        <v>336</v>
      </c>
      <c r="F25" s="2" t="e" vm="5">
        <f>$AR$3</f>
        <v>#VALUE!</v>
      </c>
      <c r="G25" s="2" t="e" vm="112">
        <f>$AU$7</f>
        <v>#VALUE!</v>
      </c>
      <c r="H25" s="18">
        <v>4</v>
      </c>
      <c r="M25" s="2" t="e" vm="55">
        <f>$AI$44</f>
        <v>#VALUE!</v>
      </c>
      <c r="N25" s="6" t="e" vm="291">
        <f>IF(OR(
E25="TravelerAnemo",
E25="TravelerGeo",
E25="TravelerElectro",
E25="TravelerDendro",
E25="TravelerHydro",
E25="TravelerPyro",
E25="TravelerCryo"),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P25" s="2" t="e" vm="324">
        <f>_xlfn.IMAGE(_xlfn.CONCAT("https://raw.githubusercontent.com/ItsCryp7iC/Genshin-Image-Hosting/main/WorldBoss/",WorldBossImg[[#This Row],[Name]],".png"),WorldBossImg[[#This Row],[Name]])</f>
        <v>#VALUE!</v>
      </c>
      <c r="Q25" s="3" t="s">
        <v>337</v>
      </c>
      <c r="R25" s="3" t="s">
        <v>338</v>
      </c>
      <c r="T25" s="2" t="e" vm="325">
        <f>_xlfn.IMAGE(_xlfn.CONCAT("https://raw.githubusercontent.com/ItsCryp7iC/Genshin-Image-Hosting/main/WeeklyBoss/",WeeklyBossImg[[#This Row],[Name]],".png"),WeeklyBossImg[[#This Row],[Name]])</f>
        <v>#VALUE!</v>
      </c>
      <c r="U25" s="3" t="s">
        <v>327</v>
      </c>
      <c r="V25" s="3" t="s">
        <v>339</v>
      </c>
      <c r="AF25" s="2" t="e" vm="326">
        <f>_xlfn.IMAGE(_xlfn.CONCAT("https://raw.githubusercontent.com/ItsCryp7iC/Genshin-Image-Hosting/main/TalentBooks/",TalentBooksImg[[#This Row],[Name]],".png"),TalentBooksImg[[#This Row],[Name]])</f>
        <v>#VALUE!</v>
      </c>
      <c r="AG25" s="3" t="s">
        <v>341</v>
      </c>
      <c r="AI25" s="2" t="e" vm="327">
        <f>_xlfn.IMAGE(_xlfn.CONCAT("https://raw.githubusercontent.com/ItsCryp7iC/Genshin-Image-Hosting/main/LocalSpecialties/",LocalSpecialtiesImg[[#This Row],[Name]],".png"),LocalSpecialtiesImg[[#This Row],[Name]])</f>
        <v>#VALUE!</v>
      </c>
      <c r="AJ25" s="3" t="s">
        <v>342</v>
      </c>
      <c r="AL25" s="2" t="e" vm="328">
        <f>_xlfn.IMAGE(_xlfn.CONCAT("https://raw.githubusercontent.com/ItsCryp7iC/Genshin-Image-Hosting/main/Gems/",GemsImg[[#This Row],[Name]],".png"),GemsImg[[#This Row],[Name]])</f>
        <v>#VALUE!</v>
      </c>
      <c r="AM25" s="3" t="s">
        <v>343</v>
      </c>
      <c r="AX25" s="2" t="e" vm="329">
        <f>_xlfn.IMAGE(_xlfn.CONCAT("https://raw.githubusercontent.com/ItsCryp7iC/Genshin-Image-Hosting/main/Weapons/",WeaponsImg[[#This Row],[Name]],".png"),WeaponsImg[[#This Row],[Name]])</f>
        <v>#VALUE!</v>
      </c>
      <c r="AY25" s="3" t="s">
        <v>344</v>
      </c>
      <c r="BA25" s="2" t="e" vm="330">
        <f>_xlfn.IMAGE(_xlfn.CONCAT("https://raw.githubusercontent.com/ItsCryp7iC/Genshin-Image-Hosting/main/WeaponMaterials/",WeaponMaterialsImg[[#This Row],[Name]],".png"),WeaponMaterialsImg[[#This Row],[Name]])</f>
        <v>#VALUE!</v>
      </c>
      <c r="BB25" s="3" t="s">
        <v>345</v>
      </c>
    </row>
    <row r="26" spans="4:54" ht="30" customHeight="1" x14ac:dyDescent="0.25">
      <c r="D26" s="5" t="e" vm="331">
        <f>_xlfn.IMAGE(_xlfn.CONCAT("https://raw.githubusercontent.com/ItsCryp7iC/Genshin-Image-Hosting/main/Characters/",CharacterDetailsImg[[#This Row],[Name]],".png"),CharacterDetailsImg[[#This Row],[Name]])</f>
        <v>#VALUE!</v>
      </c>
      <c r="E26" s="2" t="s">
        <v>346</v>
      </c>
      <c r="F26" s="2" t="e" vm="5">
        <f>$AR$3</f>
        <v>#VALUE!</v>
      </c>
      <c r="G26" s="2" t="e" vm="50">
        <f>$AU$8</f>
        <v>#VALUE!</v>
      </c>
      <c r="H26" s="18">
        <v>5</v>
      </c>
      <c r="M26" s="2" t="e" vm="55">
        <f>$AI$44</f>
        <v>#VALUE!</v>
      </c>
      <c r="N26" s="6" t="e" vm="291">
        <f>IF(OR(
E26="TravelerAnemo",
E26="TravelerGeo",
E26="TravelerElectro",
E26="TravelerDendro",
E26="TravelerHydro",
E26="TravelerPyro",
E26="TravelerCryo"),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P26" s="2" t="e" vm="332">
        <f>_xlfn.IMAGE(_xlfn.CONCAT("https://raw.githubusercontent.com/ItsCryp7iC/Genshin-Image-Hosting/main/WorldBoss/",WorldBossImg[[#This Row],[Name]],".png"),WorldBossImg[[#This Row],[Name]])</f>
        <v>#VALUE!</v>
      </c>
      <c r="Q26" s="3" t="s">
        <v>347</v>
      </c>
      <c r="R26" s="3" t="s">
        <v>348</v>
      </c>
      <c r="T26" s="2" t="e" vm="333">
        <f>_xlfn.IMAGE(_xlfn.CONCAT("https://raw.githubusercontent.com/ItsCryp7iC/Genshin-Image-Hosting/main/WeeklyBoss/",WeeklyBossImg[[#This Row],[Name]],".png"),WeeklyBossImg[[#This Row],[Name]])</f>
        <v>#VALUE!</v>
      </c>
      <c r="U26" s="3" t="s">
        <v>327</v>
      </c>
      <c r="V26" s="3" t="s">
        <v>349</v>
      </c>
      <c r="AF26" s="2" t="e" vm="334">
        <f>_xlfn.IMAGE(_xlfn.CONCAT("https://raw.githubusercontent.com/ItsCryp7iC/Genshin-Image-Hosting/main/TalentBooks/",TalentBooksImg[[#This Row],[Name]],".png"),TalentBooksImg[[#This Row],[Name]])</f>
        <v>#VALUE!</v>
      </c>
      <c r="AG26" s="3" t="s">
        <v>351</v>
      </c>
      <c r="AI26" s="2" t="e" vm="335">
        <f>_xlfn.IMAGE(_xlfn.CONCAT("https://raw.githubusercontent.com/ItsCryp7iC/Genshin-Image-Hosting/main/LocalSpecialties/",LocalSpecialtiesImg[[#This Row],[Name]],".png"),LocalSpecialtiesImg[[#This Row],[Name]])</f>
        <v>#VALUE!</v>
      </c>
      <c r="AJ26" s="3" t="s">
        <v>352</v>
      </c>
      <c r="AL26" s="2" t="e" vm="336">
        <f>_xlfn.IMAGE(_xlfn.CONCAT("https://raw.githubusercontent.com/ItsCryp7iC/Genshin-Image-Hosting/main/Gems/",GemsImg[[#This Row],[Name]],".png"),GemsImg[[#This Row],[Name]])</f>
        <v>#VALUE!</v>
      </c>
      <c r="AM26" s="3" t="s">
        <v>353</v>
      </c>
      <c r="AX26" s="2" t="e" vm="337">
        <f>_xlfn.IMAGE(_xlfn.CONCAT("https://raw.githubusercontent.com/ItsCryp7iC/Genshin-Image-Hosting/main/Weapons/",WeaponsImg[[#This Row],[Name]],".png"),WeaponsImg[[#This Row],[Name]])</f>
        <v>#VALUE!</v>
      </c>
      <c r="AY26" s="3" t="s">
        <v>354</v>
      </c>
      <c r="BA26" s="2" t="e" vm="338">
        <f>_xlfn.IMAGE(_xlfn.CONCAT("https://raw.githubusercontent.com/ItsCryp7iC/Genshin-Image-Hosting/main/WeaponMaterials/",WeaponMaterialsImg[[#This Row],[Name]],".png"),WeaponMaterialsImg[[#This Row],[Name]])</f>
        <v>#VALUE!</v>
      </c>
      <c r="BB26" s="3" t="s">
        <v>355</v>
      </c>
    </row>
    <row r="27" spans="4:54" ht="30" customHeight="1" x14ac:dyDescent="0.25">
      <c r="D27" s="5" t="e" vm="339">
        <f>_xlfn.IMAGE(_xlfn.CONCAT("https://raw.githubusercontent.com/ItsCryp7iC/Genshin-Image-Hosting/main/Characters/",CharacterDetailsImg[[#This Row],[Name]],".png"),CharacterDetailsImg[[#This Row],[Name]])</f>
        <v>#VALUE!</v>
      </c>
      <c r="E27" s="2" t="s">
        <v>356</v>
      </c>
      <c r="F27" s="2" t="e" vm="5">
        <f>$AR$3</f>
        <v>#VALUE!</v>
      </c>
      <c r="G27" s="2" t="e" vm="164">
        <f>$AU$9</f>
        <v>#VALUE!</v>
      </c>
      <c r="H27" s="18">
        <v>6</v>
      </c>
      <c r="M27" s="2" t="e" vm="55">
        <f>$AI$44</f>
        <v>#VALUE!</v>
      </c>
      <c r="N27" s="6" t="e" vm="291">
        <f>IF(OR(
E27="TravelerAnemo",
E27="TravelerGeo",
E27="TravelerElectro",
E27="TravelerDendro",
E27="TravelerHydro",
E27="TravelerPyro",
E27="TravelerCryo"),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P27" s="2" t="e" vm="340">
        <f>_xlfn.IMAGE(_xlfn.CONCAT("https://raw.githubusercontent.com/ItsCryp7iC/Genshin-Image-Hosting/main/WorldBoss/",WorldBossImg[[#This Row],[Name]],".png"),WorldBossImg[[#This Row],[Name]])</f>
        <v>#VALUE!</v>
      </c>
      <c r="Q27" s="3" t="s">
        <v>357</v>
      </c>
      <c r="R27" s="3" t="s">
        <v>358</v>
      </c>
      <c r="T27" s="2" t="e" vm="341">
        <f>_xlfn.IMAGE(_xlfn.CONCAT("https://raw.githubusercontent.com/ItsCryp7iC/Genshin-Image-Hosting/main/WeeklyBoss/",WeeklyBossImg[[#This Row],[Name]],".png"),WeeklyBossImg[[#This Row],[Name]])</f>
        <v>#VALUE!</v>
      </c>
      <c r="U27" s="3" t="s">
        <v>359</v>
      </c>
      <c r="V27" s="3" t="s">
        <v>360</v>
      </c>
      <c r="AF27" s="2" t="e" vm="342">
        <f>_xlfn.IMAGE(_xlfn.CONCAT("https://raw.githubusercontent.com/ItsCryp7iC/Genshin-Image-Hosting/main/TalentBooks/",TalentBooksImg[[#This Row],[Name]],".png"),TalentBooksImg[[#This Row],[Name]])</f>
        <v>#VALUE!</v>
      </c>
      <c r="AG27" s="3" t="s">
        <v>363</v>
      </c>
      <c r="AI27" s="2" t="e" vm="343">
        <f>_xlfn.IMAGE(_xlfn.CONCAT("https://raw.githubusercontent.com/ItsCryp7iC/Genshin-Image-Hosting/main/LocalSpecialties/",LocalSpecialtiesImg[[#This Row],[Name]],".png"),LocalSpecialtiesImg[[#This Row],[Name]])</f>
        <v>#VALUE!</v>
      </c>
      <c r="AJ27" s="3" t="s">
        <v>364</v>
      </c>
      <c r="AL27" s="2" t="e" vm="344">
        <f>_xlfn.IMAGE(_xlfn.CONCAT("https://raw.githubusercontent.com/ItsCryp7iC/Genshin-Image-Hosting/main/Gems/",GemsImg[[#This Row],[Name]],".png"),GemsImg[[#This Row],[Name]])</f>
        <v>#VALUE!</v>
      </c>
      <c r="AM27" s="3" t="s">
        <v>903</v>
      </c>
      <c r="AX27" s="2" t="e" vm="345">
        <f>_xlfn.IMAGE(_xlfn.CONCAT("https://raw.githubusercontent.com/ItsCryp7iC/Genshin-Image-Hosting/main/Weapons/",WeaponsImg[[#This Row],[Name]],".png"),WeaponsImg[[#This Row],[Name]])</f>
        <v>#VALUE!</v>
      </c>
      <c r="AY27" s="3" t="s">
        <v>365</v>
      </c>
      <c r="BA27" s="2" t="e" vm="346">
        <f>_xlfn.IMAGE(_xlfn.CONCAT("https://raw.githubusercontent.com/ItsCryp7iC/Genshin-Image-Hosting/main/WeaponMaterials/",WeaponMaterialsImg[[#This Row],[Name]],".png"),WeaponMaterialsImg[[#This Row],[Name]])</f>
        <v>#VALUE!</v>
      </c>
      <c r="BB27" s="3" t="s">
        <v>366</v>
      </c>
    </row>
    <row r="28" spans="4:54" ht="30" customHeight="1" x14ac:dyDescent="0.25">
      <c r="D28" s="5" t="e" vm="347">
        <f>_xlfn.IMAGE(_xlfn.CONCAT("https://raw.githubusercontent.com/ItsCryp7iC/Genshin-Image-Hosting/main/Characters/",CharacterDetailsImg[[#This Row],[Name]],".png"),CharacterDetailsImg[[#This Row],[Name]])</f>
        <v>#VALUE!</v>
      </c>
      <c r="E28" s="2" t="s">
        <v>367</v>
      </c>
      <c r="F28" s="2" t="e" vm="5">
        <f>$AR$3</f>
        <v>#VALUE!</v>
      </c>
      <c r="G28" s="2" t="e" vm="112">
        <f>$AU$7</f>
        <v>#VALUE!</v>
      </c>
      <c r="H28" s="18">
        <v>1</v>
      </c>
      <c r="I28" s="2" t="e" vm="348">
        <f>$P$7</f>
        <v>#VALUE!</v>
      </c>
      <c r="J28" s="2" t="e" vm="281">
        <f>$T$6</f>
        <v>#VALUE!</v>
      </c>
      <c r="K28" s="2" t="e" vm="349">
        <f>$AF$14</f>
        <v>#VALUE!</v>
      </c>
      <c r="L28" s="2" t="e" vm="133">
        <f>$Z$3</f>
        <v>#VALUE!</v>
      </c>
      <c r="M28" s="2" t="e" vm="350">
        <f>$AI$36</f>
        <v>#VALUE!</v>
      </c>
      <c r="N28" s="6" t="e" vm="117">
        <f>IF(OR(
E28="TravelerAnemo",
E28="TravelerGeo",
E28="TravelerElectro",
E28="TravelerDendro",
E28="TravelerHydro",
E28="TravelerPyro",
E28="TravelerCryo"),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P28" s="2" t="e" vm="351">
        <f>_xlfn.IMAGE(_xlfn.CONCAT("https://raw.githubusercontent.com/ItsCryp7iC/Genshin-Image-Hosting/main/WorldBoss/",WorldBossImg[[#This Row],[Name]],".png"),WorldBossImg[[#This Row],[Name]])</f>
        <v>#VALUE!</v>
      </c>
      <c r="Q28" s="3" t="s">
        <v>368</v>
      </c>
      <c r="R28" s="3" t="s">
        <v>369</v>
      </c>
      <c r="T28" s="2" t="e" vm="352">
        <f>_xlfn.IMAGE(_xlfn.CONCAT("https://raw.githubusercontent.com/ItsCryp7iC/Genshin-Image-Hosting/main/WeeklyBoss/",WeeklyBossImg[[#This Row],[Name]],".png"),WeeklyBossImg[[#This Row],[Name]])</f>
        <v>#VALUE!</v>
      </c>
      <c r="U28" s="3" t="s">
        <v>359</v>
      </c>
      <c r="V28" s="3" t="s">
        <v>370</v>
      </c>
      <c r="AF28" s="2" t="e" vm="353">
        <f>_xlfn.IMAGE(_xlfn.CONCAT("https://raw.githubusercontent.com/ItsCryp7iC/Genshin-Image-Hosting/main/TalentBooks/",TalentBooksImg[[#This Row],[Name]],".png"),TalentBooksImg[[#This Row],[Name]])</f>
        <v>#VALUE!</v>
      </c>
      <c r="AG28" s="3" t="s">
        <v>372</v>
      </c>
      <c r="AI28" s="2" t="e" vm="354">
        <f>_xlfn.IMAGE(_xlfn.CONCAT("https://raw.githubusercontent.com/ItsCryp7iC/Genshin-Image-Hosting/main/LocalSpecialties/",LocalSpecialtiesImg[[#This Row],[Name]],".png"),LocalSpecialtiesImg[[#This Row],[Name]])</f>
        <v>#VALUE!</v>
      </c>
      <c r="AJ28" s="3" t="s">
        <v>373</v>
      </c>
      <c r="AL28" s="2" t="e" vm="355">
        <f>_xlfn.IMAGE(_xlfn.CONCAT("https://raw.githubusercontent.com/ItsCryp7iC/Genshin-Image-Hosting/main/Gems/",GemsImg[[#This Row],[Name]],".png"),GemsImg[[#This Row],[Name]])</f>
        <v>#VALUE!</v>
      </c>
      <c r="AM28" s="3" t="s">
        <v>374</v>
      </c>
      <c r="AX28" s="2" t="e" vm="356">
        <f>_xlfn.IMAGE(_xlfn.CONCAT("https://raw.githubusercontent.com/ItsCryp7iC/Genshin-Image-Hosting/main/Weapons/",WeaponsImg[[#This Row],[Name]],".png"),WeaponsImg[[#This Row],[Name]])</f>
        <v>#VALUE!</v>
      </c>
      <c r="AY28" s="3" t="s">
        <v>375</v>
      </c>
      <c r="BA28" s="2" t="e" vm="357">
        <f>_xlfn.IMAGE(_xlfn.CONCAT("https://raw.githubusercontent.com/ItsCryp7iC/Genshin-Image-Hosting/main/WeaponMaterials/",WeaponMaterialsImg[[#This Row],[Name]],".png"),WeaponMaterialsImg[[#This Row],[Name]])</f>
        <v>#VALUE!</v>
      </c>
      <c r="BB28" s="3" t="s">
        <v>376</v>
      </c>
    </row>
    <row r="29" spans="4:54" ht="30" customHeight="1" x14ac:dyDescent="0.25">
      <c r="D29" s="5" t="e" vm="358">
        <f>_xlfn.IMAGE(_xlfn.CONCAT("https://raw.githubusercontent.com/ItsCryp7iC/Genshin-Image-Hosting/main/Characters/",CharacterDetailsImg[[#This Row],[Name]],".png"),CharacterDetailsImg[[#This Row],[Name]])</f>
        <v>#VALUE!</v>
      </c>
      <c r="E29" s="2" t="s">
        <v>377</v>
      </c>
      <c r="F29" s="2" t="e" vm="359">
        <f>$AR$6</f>
        <v>#VALUE!</v>
      </c>
      <c r="G29" s="2" t="e" vm="164">
        <f>$AU$9</f>
        <v>#VALUE!</v>
      </c>
      <c r="H29" s="18">
        <v>2.1</v>
      </c>
      <c r="I29" s="2" t="e" vm="360">
        <f>$P$10</f>
        <v>#VALUE!</v>
      </c>
      <c r="J29" s="2" t="e" vm="361">
        <f>$T$17</f>
        <v>#VALUE!</v>
      </c>
      <c r="K29" s="2" t="e" vm="362">
        <f>$AF$11</f>
        <v>#VALUE!</v>
      </c>
      <c r="L29" s="2" t="e" vm="75">
        <f>$Z$11</f>
        <v>#VALUE!</v>
      </c>
      <c r="M29" s="2" t="e" vm="363">
        <f>$AI$9</f>
        <v>#VALUE!</v>
      </c>
      <c r="N29" s="6" t="e" vm="168">
        <f>IF(OR(
E29="TravelerAnemo",
E29="TravelerGeo",
E29="TravelerElectro",
E29="TravelerDendro",
E29="TravelerHydro",
E29="TravelerPyro",
E29="TravelerCryo"),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P29" s="2" t="e" vm="364">
        <f>_xlfn.IMAGE(_xlfn.CONCAT("https://raw.githubusercontent.com/ItsCryp7iC/Genshin-Image-Hosting/main/WorldBoss/",WorldBossImg[[#This Row],[Name]],".png"),WorldBossImg[[#This Row],[Name]])</f>
        <v>#VALUE!</v>
      </c>
      <c r="Q29" s="3" t="s">
        <v>378</v>
      </c>
      <c r="R29" s="3" t="s">
        <v>379</v>
      </c>
      <c r="T29" s="2" t="e" vm="365">
        <f>_xlfn.IMAGE(_xlfn.CONCAT("https://raw.githubusercontent.com/ItsCryp7iC/Genshin-Image-Hosting/main/WeeklyBoss/",WeeklyBossImg[[#This Row],[Name]],".png"),WeeklyBossImg[[#This Row],[Name]])</f>
        <v>#VALUE!</v>
      </c>
      <c r="U29" s="3" t="s">
        <v>359</v>
      </c>
      <c r="V29" s="3" t="s">
        <v>380</v>
      </c>
      <c r="AF29" s="2" t="e" vm="366">
        <f>_xlfn.IMAGE(_xlfn.CONCAT("https://raw.githubusercontent.com/ItsCryp7iC/Genshin-Image-Hosting/main/TalentBooks/",TalentBooksImg[[#This Row],[Name]],".png"),TalentBooksImg[[#This Row],[Name]])</f>
        <v>#VALUE!</v>
      </c>
      <c r="AG29" s="3" t="s">
        <v>382</v>
      </c>
      <c r="AI29" s="2" t="e" vm="367">
        <f>_xlfn.IMAGE(_xlfn.CONCAT("https://raw.githubusercontent.com/ItsCryp7iC/Genshin-Image-Hosting/main/LocalSpecialties/",LocalSpecialtiesImg[[#This Row],[Name]],".png"),LocalSpecialtiesImg[[#This Row],[Name]])</f>
        <v>#VALUE!</v>
      </c>
      <c r="AJ29" s="3" t="s">
        <v>383</v>
      </c>
      <c r="AL29" s="2" t="e" vm="368">
        <f>_xlfn.IMAGE(_xlfn.CONCAT("https://raw.githubusercontent.com/ItsCryp7iC/Genshin-Image-Hosting/main/Gems/",GemsImg[[#This Row],[Name]],".png"),GemsImg[[#This Row],[Name]])</f>
        <v>#VALUE!</v>
      </c>
      <c r="AM29" s="3" t="s">
        <v>384</v>
      </c>
      <c r="AX29" s="2" t="e" vm="369">
        <f>_xlfn.IMAGE(_xlfn.CONCAT("https://raw.githubusercontent.com/ItsCryp7iC/Genshin-Image-Hosting/main/Weapons/",WeaponsImg[[#This Row],[Name]],".png"),WeaponsImg[[#This Row],[Name]])</f>
        <v>#VALUE!</v>
      </c>
      <c r="AY29" s="3" t="s">
        <v>385</v>
      </c>
      <c r="BA29" s="2" t="e" vm="370">
        <f>_xlfn.IMAGE(_xlfn.CONCAT("https://raw.githubusercontent.com/ItsCryp7iC/Genshin-Image-Hosting/main/WeaponMaterials/",WeaponMaterialsImg[[#This Row],[Name]],".png"),WeaponMaterialsImg[[#This Row],[Name]])</f>
        <v>#VALUE!</v>
      </c>
      <c r="BB29" s="3" t="s">
        <v>386</v>
      </c>
    </row>
    <row r="30" spans="4:54" ht="30" customHeight="1" x14ac:dyDescent="0.25">
      <c r="D30" s="5" t="e" vm="371">
        <f>_xlfn.IMAGE(_xlfn.CONCAT("https://raw.githubusercontent.com/ItsCryp7iC/Genshin-Image-Hosting/main/Characters/",CharacterDetailsImg[[#This Row],[Name]],".png"),CharacterDetailsImg[[#This Row],[Name]])</f>
        <v>#VALUE!</v>
      </c>
      <c r="E30" s="2" t="s">
        <v>387</v>
      </c>
      <c r="F30" s="2" t="e" vm="359">
        <f>$AR$6</f>
        <v>#VALUE!</v>
      </c>
      <c r="G30" s="2" t="e" vm="50">
        <f>$AU$8</f>
        <v>#VALUE!</v>
      </c>
      <c r="H30" s="18">
        <v>1</v>
      </c>
      <c r="I30" s="2" t="e" vm="51">
        <f>$P$8</f>
        <v>#VALUE!</v>
      </c>
      <c r="J30" s="2" t="e" vm="372">
        <f>$T$5</f>
        <v>#VALUE!</v>
      </c>
      <c r="K30" s="2" t="e" vm="362">
        <f>$AF$11</f>
        <v>#VALUE!</v>
      </c>
      <c r="L30" s="2" t="e" vm="373">
        <f>$Z$4</f>
        <v>#VALUE!</v>
      </c>
      <c r="M30" s="2" t="e" vm="374">
        <f>$AI$37</f>
        <v>#VALUE!</v>
      </c>
      <c r="N30" s="6" t="e" vm="56">
        <f>IF(OR(
E30="TravelerAnemo",
E30="TravelerGeo",
E30="TravelerElectro",
E30="TravelerDendro",
E30="TravelerHydro",
E30="TravelerPyro",
E30="TravelerCryo"),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P30" s="2" t="e" vm="375">
        <f>_xlfn.IMAGE(_xlfn.CONCAT("https://raw.githubusercontent.com/ItsCryp7iC/Genshin-Image-Hosting/main/WorldBoss/",WorldBossImg[[#This Row],[Name]],".png"),WorldBossImg[[#This Row],[Name]])</f>
        <v>#VALUE!</v>
      </c>
      <c r="Q30" s="3" t="s">
        <v>388</v>
      </c>
      <c r="R30" s="3" t="s">
        <v>389</v>
      </c>
      <c r="T30" s="2" t="e" vm="376">
        <f>_xlfn.IMAGE(_xlfn.CONCAT("https://raw.githubusercontent.com/ItsCryp7iC/Genshin-Image-Hosting/main/WeeklyBoss/",WeeklyBossImg[[#This Row],[Name]],".png"),WeeklyBossImg[[#This Row],[Name]])</f>
        <v>#VALUE!</v>
      </c>
      <c r="U30" s="3" t="s">
        <v>390</v>
      </c>
      <c r="V30" s="3" t="s">
        <v>391</v>
      </c>
      <c r="AF30" s="2" t="e" vm="377">
        <f>_xlfn.IMAGE(_xlfn.CONCAT("https://raw.githubusercontent.com/ItsCryp7iC/Genshin-Image-Hosting/main/TalentBooks/",TalentBooksImg[[#This Row],[Name]],".png"),TalentBooksImg[[#This Row],[Name]])</f>
        <v>#VALUE!</v>
      </c>
      <c r="AG30" s="3" t="s">
        <v>394</v>
      </c>
      <c r="AI30" s="2" t="e" vm="378">
        <f>_xlfn.IMAGE(_xlfn.CONCAT("https://raw.githubusercontent.com/ItsCryp7iC/Genshin-Image-Hosting/main/LocalSpecialties/",LocalSpecialtiesImg[[#This Row],[Name]],".png"),LocalSpecialtiesImg[[#This Row],[Name]])</f>
        <v>#VALUE!</v>
      </c>
      <c r="AJ30" s="3" t="s">
        <v>395</v>
      </c>
      <c r="AL30" s="2" t="e" vm="379">
        <f>_xlfn.IMAGE(_xlfn.CONCAT("https://raw.githubusercontent.com/ItsCryp7iC/Genshin-Image-Hosting/main/Gems/",GemsImg[[#This Row],[Name]],".png"),GemsImg[[#This Row],[Name]])</f>
        <v>#VALUE!</v>
      </c>
      <c r="AM30" s="3" t="s">
        <v>396</v>
      </c>
      <c r="AX30" s="2" t="e" vm="380">
        <f>_xlfn.IMAGE(_xlfn.CONCAT("https://raw.githubusercontent.com/ItsCryp7iC/Genshin-Image-Hosting/main/Weapons/",WeaponsImg[[#This Row],[Name]],".png"),WeaponsImg[[#This Row],[Name]])</f>
        <v>#VALUE!</v>
      </c>
      <c r="AY30" s="3" t="s">
        <v>397</v>
      </c>
      <c r="BA30" s="2" t="e" vm="381">
        <f>_xlfn.IMAGE(_xlfn.CONCAT("https://raw.githubusercontent.com/ItsCryp7iC/Genshin-Image-Hosting/main/WeaponMaterials/",WeaponMaterialsImg[[#This Row],[Name]],".png"),WeaponMaterialsImg[[#This Row],[Name]])</f>
        <v>#VALUE!</v>
      </c>
      <c r="BB30" s="3" t="s">
        <v>398</v>
      </c>
    </row>
    <row r="31" spans="4:54" ht="30" customHeight="1" x14ac:dyDescent="0.25">
      <c r="D31" s="5" t="e" vm="382">
        <f>_xlfn.IMAGE(_xlfn.CONCAT("https://raw.githubusercontent.com/ItsCryp7iC/Genshin-Image-Hosting/main/Characters/",CharacterDetailsImg[[#This Row],[Name]],".png"),CharacterDetailsImg[[#This Row],[Name]])</f>
        <v>#VALUE!</v>
      </c>
      <c r="E31" s="2" t="s">
        <v>399</v>
      </c>
      <c r="F31" s="2" t="e" vm="359">
        <f>$AR$6</f>
        <v>#VALUE!</v>
      </c>
      <c r="G31" s="2" t="e" vm="28">
        <f>$AU$6</f>
        <v>#VALUE!</v>
      </c>
      <c r="H31" s="18">
        <v>3</v>
      </c>
      <c r="I31" s="2" t="e" vm="383">
        <f>$P$20</f>
        <v>#VALUE!</v>
      </c>
      <c r="J31" s="2" t="e" vm="239">
        <f>$T$20</f>
        <v>#VALUE!</v>
      </c>
      <c r="K31" s="2" t="e" vm="270">
        <f>$AF$38</f>
        <v>#VALUE!</v>
      </c>
      <c r="L31" s="2" t="e" vm="373">
        <f>$Z$4</f>
        <v>#VALUE!</v>
      </c>
      <c r="M31" s="2" t="e" vm="384">
        <f>AI30</f>
        <v>#VALUE!</v>
      </c>
      <c r="N31" s="6" t="e" vm="34">
        <f>IF(OR(
E31="TravelerAnemo",
E31="TravelerGeo",
E31="TravelerElectro",
E31="TravelerDendro",
E31="TravelerHydro",
E31="TravelerPyro",
E31="TravelerCryo"),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P31" s="2" t="e" vm="385">
        <f>_xlfn.IMAGE(_xlfn.CONCAT("https://raw.githubusercontent.com/ItsCryp7iC/Genshin-Image-Hosting/main/WorldBoss/",WorldBossImg[[#This Row],[Name]],".png"),WorldBossImg[[#This Row],[Name]])</f>
        <v>#VALUE!</v>
      </c>
      <c r="Q31" s="3" t="s">
        <v>400</v>
      </c>
      <c r="R31" s="3" t="s">
        <v>401</v>
      </c>
      <c r="T31" s="2" t="e" vm="386">
        <f>_xlfn.IMAGE(_xlfn.CONCAT("https://raw.githubusercontent.com/ItsCryp7iC/Genshin-Image-Hosting/main/WeeklyBoss/",WeeklyBossImg[[#This Row],[Name]],".png"),WeeklyBossImg[[#This Row],[Name]])</f>
        <v>#VALUE!</v>
      </c>
      <c r="U31" s="3" t="s">
        <v>390</v>
      </c>
      <c r="V31" s="3" t="s">
        <v>402</v>
      </c>
      <c r="AF31" s="2" t="e" vm="387">
        <f>_xlfn.IMAGE(_xlfn.CONCAT("https://raw.githubusercontent.com/ItsCryp7iC/Genshin-Image-Hosting/main/TalentBooks/",TalentBooksImg[[#This Row],[Name]],".png"),TalentBooksImg[[#This Row],[Name]])</f>
        <v>#VALUE!</v>
      </c>
      <c r="AG31" s="3" t="s">
        <v>404</v>
      </c>
      <c r="AI31" s="2" t="e" vm="388">
        <f>_xlfn.IMAGE(_xlfn.CONCAT("https://raw.githubusercontent.com/ItsCryp7iC/Genshin-Image-Hosting/main/LocalSpecialties/",LocalSpecialtiesImg[[#This Row],[Name]],".png"),LocalSpecialtiesImg[[#This Row],[Name]])</f>
        <v>#VALUE!</v>
      </c>
      <c r="AJ31" s="3" t="s">
        <v>405</v>
      </c>
      <c r="AL31" s="2" t="e" vm="389">
        <f>_xlfn.IMAGE(_xlfn.CONCAT("https://raw.githubusercontent.com/ItsCryp7iC/Genshin-Image-Hosting/main/Gems/",GemsImg[[#This Row],[Name]],".png"),GemsImg[[#This Row],[Name]])</f>
        <v>#VALUE!</v>
      </c>
      <c r="AM31" s="3" t="s">
        <v>904</v>
      </c>
      <c r="AX31" s="2" t="e" vm="390">
        <f>_xlfn.IMAGE(_xlfn.CONCAT("https://raw.githubusercontent.com/ItsCryp7iC/Genshin-Image-Hosting/main/Weapons/",WeaponsImg[[#This Row],[Name]],".png"),WeaponsImg[[#This Row],[Name]])</f>
        <v>#VALUE!</v>
      </c>
      <c r="AY31" s="3" t="s">
        <v>406</v>
      </c>
      <c r="BA31" s="2" t="e" vm="391">
        <f>_xlfn.IMAGE(_xlfn.CONCAT("https://raw.githubusercontent.com/ItsCryp7iC/Genshin-Image-Hosting/main/WeaponMaterials/",WeaponMaterialsImg[[#This Row],[Name]],".png"),WeaponMaterialsImg[[#This Row],[Name]])</f>
        <v>#VALUE!</v>
      </c>
      <c r="BB31" s="3" t="s">
        <v>407</v>
      </c>
    </row>
    <row r="32" spans="4:54" ht="30" customHeight="1" x14ac:dyDescent="0.25">
      <c r="D32" s="5" t="e" vm="392">
        <f>_xlfn.IMAGE(_xlfn.CONCAT("https://raw.githubusercontent.com/ItsCryp7iC/Genshin-Image-Hosting/main/Characters/",CharacterDetailsImg[[#This Row],[Name]],".png"),CharacterDetailsImg[[#This Row],[Name]])</f>
        <v>#VALUE!</v>
      </c>
      <c r="E32" s="2" t="s">
        <v>408</v>
      </c>
      <c r="F32" s="2" t="e" vm="359">
        <f>$AR$6</f>
        <v>#VALUE!</v>
      </c>
      <c r="G32" s="2" t="e" vm="164">
        <f>$AU$9</f>
        <v>#VALUE!</v>
      </c>
      <c r="H32" s="18">
        <v>1.1000000000000001</v>
      </c>
      <c r="I32" s="2" t="e" vm="165">
        <f>$P$4</f>
        <v>#VALUE!</v>
      </c>
      <c r="J32" s="2" t="e" vm="393">
        <f>$T$9</f>
        <v>#VALUE!</v>
      </c>
      <c r="K32" s="2" t="e" vm="362">
        <f>$AF$11</f>
        <v>#VALUE!</v>
      </c>
      <c r="L32" s="2" t="e" vm="373">
        <f>$Z$4</f>
        <v>#VALUE!</v>
      </c>
      <c r="M32" s="2" t="e" vm="167">
        <f>$AI$5</f>
        <v>#VALUE!</v>
      </c>
      <c r="N32" s="6" t="e" vm="168">
        <f>IF(OR(
E32="TravelerAnemo",
E32="TravelerGeo",
E32="TravelerElectro",
E32="TravelerDendro",
E32="TravelerHydro",
E32="TravelerPyro",
E32="TravelerCryo"),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P32" s="2" t="e" vm="394">
        <f>_xlfn.IMAGE(_xlfn.CONCAT("https://raw.githubusercontent.com/ItsCryp7iC/Genshin-Image-Hosting/main/WorldBoss/",WorldBossImg[[#This Row],[Name]],".png"),WorldBossImg[[#This Row],[Name]])</f>
        <v>#VALUE!</v>
      </c>
      <c r="Q32" s="3" t="s">
        <v>35</v>
      </c>
      <c r="R32" s="3" t="s">
        <v>409</v>
      </c>
      <c r="T32" s="2" t="e" vm="395">
        <f>_xlfn.IMAGE(_xlfn.CONCAT("https://raw.githubusercontent.com/ItsCryp7iC/Genshin-Image-Hosting/main/WeeklyBoss/",WeeklyBossImg[[#This Row],[Name]],".png"),WeeklyBossImg[[#This Row],[Name]])</f>
        <v>#VALUE!</v>
      </c>
      <c r="U32" s="3" t="s">
        <v>390</v>
      </c>
      <c r="V32" s="3" t="s">
        <v>410</v>
      </c>
      <c r="AF32" s="2" t="e" vm="396">
        <f>_xlfn.IMAGE(_xlfn.CONCAT("https://raw.githubusercontent.com/ItsCryp7iC/Genshin-Image-Hosting/main/TalentBooks/",TalentBooksImg[[#This Row],[Name]],".png"),TalentBooksImg[[#This Row],[Name]])</f>
        <v>#VALUE!</v>
      </c>
      <c r="AG32" s="3" t="s">
        <v>412</v>
      </c>
      <c r="AI32" s="2" t="e" vm="397">
        <f>_xlfn.IMAGE(_xlfn.CONCAT("https://raw.githubusercontent.com/ItsCryp7iC/Genshin-Image-Hosting/main/LocalSpecialties/",LocalSpecialtiesImg[[#This Row],[Name]],".png"),LocalSpecialtiesImg[[#This Row],[Name]])</f>
        <v>#VALUE!</v>
      </c>
      <c r="AJ32" s="3" t="s">
        <v>413</v>
      </c>
      <c r="AL32" s="2" t="e" vm="398">
        <f>_xlfn.IMAGE(_xlfn.CONCAT("https://raw.githubusercontent.com/ItsCryp7iC/Genshin-Image-Hosting/main/Gems/",GemsImg[[#This Row],[Name]],".png"),GemsImg[[#This Row],[Name]])</f>
        <v>#VALUE!</v>
      </c>
      <c r="AM32" s="3" t="s">
        <v>414</v>
      </c>
      <c r="AX32" s="2" t="e" vm="399">
        <f>_xlfn.IMAGE(_xlfn.CONCAT("https://raw.githubusercontent.com/ItsCryp7iC/Genshin-Image-Hosting/main/Weapons/",WeaponsImg[[#This Row],[Name]],".png"),WeaponsImg[[#This Row],[Name]])</f>
        <v>#VALUE!</v>
      </c>
      <c r="AY32" s="3" t="s">
        <v>415</v>
      </c>
      <c r="BA32" s="2" t="e" vm="400">
        <f>_xlfn.IMAGE(_xlfn.CONCAT("https://raw.githubusercontent.com/ItsCryp7iC/Genshin-Image-Hosting/main/WeaponMaterials/",WeaponMaterialsImg[[#This Row],[Name]],".png"),WeaponMaterialsImg[[#This Row],[Name]])</f>
        <v>#VALUE!</v>
      </c>
      <c r="BB32" s="3" t="s">
        <v>416</v>
      </c>
    </row>
    <row r="33" spans="4:54" ht="30" customHeight="1" x14ac:dyDescent="0.25">
      <c r="D33" s="5" t="e" vm="401">
        <f>_xlfn.IMAGE(_xlfn.CONCAT("https://raw.githubusercontent.com/ItsCryp7iC/Genshin-Image-Hosting/main/Characters/",CharacterDetailsImg[[#This Row],[Name]],".png"),CharacterDetailsImg[[#This Row],[Name]])</f>
        <v>#VALUE!</v>
      </c>
      <c r="E33" s="2" t="s">
        <v>417</v>
      </c>
      <c r="F33" s="2" t="e" vm="359">
        <f>$AR$6</f>
        <v>#VALUE!</v>
      </c>
      <c r="G33" s="2" t="e" vm="131">
        <f>$AU$3</f>
        <v>#VALUE!</v>
      </c>
      <c r="H33" s="18">
        <v>3.3</v>
      </c>
      <c r="I33" s="2" t="e" vm="402">
        <f>$P$22</f>
        <v>#VALUE!</v>
      </c>
      <c r="J33" s="2" t="e" vm="403">
        <f>$T$21</f>
        <v>#VALUE!</v>
      </c>
      <c r="K33" s="2" t="e" vm="404">
        <f>$AF$35</f>
        <v>#VALUE!</v>
      </c>
      <c r="L33" s="2" t="e" vm="32">
        <f>$Z$13</f>
        <v>#VALUE!</v>
      </c>
      <c r="M33" s="2" t="e" vm="76">
        <f>$AI$14</f>
        <v>#VALUE!</v>
      </c>
      <c r="N33" s="6" t="e" vm="135">
        <f>IF(OR(
E33="TravelerAnemo",
E33="TravelerGeo",
E33="TravelerElectro",
E33="TravelerDendro",
E33="TravelerHydro",
E33="TravelerPyro",
E33="TravelerCryo"),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P33" s="2" t="e" vm="405">
        <f>_xlfn.IMAGE(_xlfn.CONCAT("https://raw.githubusercontent.com/ItsCryp7iC/Genshin-Image-Hosting/main/WorldBoss/",WorldBossImg[[#This Row],[Name]],".png"),WorldBossImg[[#This Row],[Name]])</f>
        <v>#VALUE!</v>
      </c>
      <c r="Q33" s="3" t="s">
        <v>418</v>
      </c>
      <c r="R33" s="3" t="s">
        <v>419</v>
      </c>
      <c r="AF33" s="2" t="e" vm="406">
        <f>_xlfn.IMAGE(_xlfn.CONCAT("https://raw.githubusercontent.com/ItsCryp7iC/Genshin-Image-Hosting/main/TalentBooks/",TalentBooksImg[[#This Row],[Name]],".png"),TalentBooksImg[[#This Row],[Name]])</f>
        <v>#VALUE!</v>
      </c>
      <c r="AG33" s="3" t="s">
        <v>421</v>
      </c>
      <c r="AI33" s="2" t="e" vm="407">
        <f>_xlfn.IMAGE(_xlfn.CONCAT("https://raw.githubusercontent.com/ItsCryp7iC/Genshin-Image-Hosting/main/LocalSpecialties/",LocalSpecialtiesImg[[#This Row],[Name]],".png"),LocalSpecialtiesImg[[#This Row],[Name]])</f>
        <v>#VALUE!</v>
      </c>
      <c r="AJ33" s="3" t="s">
        <v>422</v>
      </c>
      <c r="AL33" s="2" t="e" vm="408">
        <f>_xlfn.IMAGE(_xlfn.CONCAT("https://raw.githubusercontent.com/ItsCryp7iC/Genshin-Image-Hosting/main/Gems/",GemsImg[[#This Row],[Name]],".png"),GemsImg[[#This Row],[Name]])</f>
        <v>#VALUE!</v>
      </c>
      <c r="AM33" s="3" t="s">
        <v>423</v>
      </c>
      <c r="AX33" s="2" t="e" vm="409">
        <f>_xlfn.IMAGE(_xlfn.CONCAT("https://raw.githubusercontent.com/ItsCryp7iC/Genshin-Image-Hosting/main/Weapons/",WeaponsImg[[#This Row],[Name]],".png"),WeaponsImg[[#This Row],[Name]])</f>
        <v>#VALUE!</v>
      </c>
      <c r="AY33" s="3" t="s">
        <v>424</v>
      </c>
      <c r="BA33" s="2" t="e" vm="410">
        <f>_xlfn.IMAGE(_xlfn.CONCAT("https://raw.githubusercontent.com/ItsCryp7iC/Genshin-Image-Hosting/main/WeaponMaterials/",WeaponMaterialsImg[[#This Row],[Name]],".png"),WeaponMaterialsImg[[#This Row],[Name]])</f>
        <v>#VALUE!</v>
      </c>
      <c r="BB33" s="3" t="s">
        <v>425</v>
      </c>
    </row>
    <row r="34" spans="4:54" ht="30" customHeight="1" x14ac:dyDescent="0.25">
      <c r="D34" s="5" t="e" vm="411">
        <f>_xlfn.IMAGE(_xlfn.CONCAT("https://raw.githubusercontent.com/ItsCryp7iC/Genshin-Image-Hosting/main/Characters/",CharacterDetailsImg[[#This Row],[Name]],".png"),CharacterDetailsImg[[#This Row],[Name]])</f>
        <v>#VALUE!</v>
      </c>
      <c r="E34" s="2" t="s">
        <v>426</v>
      </c>
      <c r="F34" s="2" t="e" vm="359">
        <f>$AR$6</f>
        <v>#VALUE!</v>
      </c>
      <c r="G34" s="2" t="e" vm="91">
        <f>$AU$5</f>
        <v>#VALUE!</v>
      </c>
      <c r="H34" s="18">
        <v>1</v>
      </c>
      <c r="I34" s="2" t="e" vm="209">
        <f>$P$5</f>
        <v>#VALUE!</v>
      </c>
      <c r="J34" s="2" t="e" vm="166">
        <f>$T$7</f>
        <v>#VALUE!</v>
      </c>
      <c r="K34" s="2" t="e" vm="9">
        <f>$AF$5</f>
        <v>#VALUE!</v>
      </c>
      <c r="L34" s="2" t="e" vm="373">
        <f>$Z$4</f>
        <v>#VALUE!</v>
      </c>
      <c r="M34" s="2" t="e" vm="374">
        <f>$AI$37</f>
        <v>#VALUE!</v>
      </c>
      <c r="N34" s="6" t="e" vm="97">
        <f>IF(OR(
E34="TravelerAnemo",
E34="TravelerGeo",
E34="TravelerElectro",
E34="TravelerDendro",
E34="TravelerHydro",
E34="TravelerPyro",
E34="TravelerCryo"),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AF34" s="2" t="e" vm="412">
        <f>_xlfn.IMAGE(_xlfn.CONCAT("https://raw.githubusercontent.com/ItsCryp7iC/Genshin-Image-Hosting/main/TalentBooks/",TalentBooksImg[[#This Row],[Name]],".png"),TalentBooksImg[[#This Row],[Name]])</f>
        <v>#VALUE!</v>
      </c>
      <c r="AG34" s="3" t="s">
        <v>428</v>
      </c>
      <c r="AI34" s="2" t="e" vm="413">
        <f>_xlfn.IMAGE(_xlfn.CONCAT("https://raw.githubusercontent.com/ItsCryp7iC/Genshin-Image-Hosting/main/LocalSpecialties/",LocalSpecialtiesImg[[#This Row],[Name]],".png"),LocalSpecialtiesImg[[#This Row],[Name]])</f>
        <v>#VALUE!</v>
      </c>
      <c r="AJ34" s="3" t="s">
        <v>429</v>
      </c>
      <c r="AL34" s="2" t="e" vm="414">
        <f>_xlfn.IMAGE(_xlfn.CONCAT("https://raw.githubusercontent.com/ItsCryp7iC/Genshin-Image-Hosting/main/Gems/",GemsImg[[#This Row],[Name]],".png"),GemsImg[[#This Row],[Name]])</f>
        <v>#VALUE!</v>
      </c>
      <c r="AM34" s="3" t="s">
        <v>430</v>
      </c>
      <c r="AX34" s="2" t="e" vm="415">
        <f>_xlfn.IMAGE(_xlfn.CONCAT("https://raw.githubusercontent.com/ItsCryp7iC/Genshin-Image-Hosting/main/Weapons/",WeaponsImg[[#This Row],[Name]],".png"),WeaponsImg[[#This Row],[Name]])</f>
        <v>#VALUE!</v>
      </c>
      <c r="AY34" s="3" t="s">
        <v>431</v>
      </c>
      <c r="BA34" s="2" t="e" vm="416">
        <f>_xlfn.IMAGE(_xlfn.CONCAT("https://raw.githubusercontent.com/ItsCryp7iC/Genshin-Image-Hosting/main/WeaponMaterials/",WeaponMaterialsImg[[#This Row],[Name]],".png"),WeaponMaterialsImg[[#This Row],[Name]])</f>
        <v>#VALUE!</v>
      </c>
      <c r="BB34" s="3" t="s">
        <v>432</v>
      </c>
    </row>
    <row r="35" spans="4:54" ht="30" customHeight="1" x14ac:dyDescent="0.25">
      <c r="D35" s="5" t="e" vm="417">
        <f>_xlfn.IMAGE(_xlfn.CONCAT("https://raw.githubusercontent.com/ItsCryp7iC/Genshin-Image-Hosting/main/Characters/",CharacterDetailsImg[[#This Row],[Name]],".png"),CharacterDetailsImg[[#This Row],[Name]])</f>
        <v>#VALUE!</v>
      </c>
      <c r="E35" s="2" t="s">
        <v>433</v>
      </c>
      <c r="F35" s="2" t="e" vm="359">
        <f>$AR$6</f>
        <v>#VALUE!</v>
      </c>
      <c r="G35" s="2" t="e" vm="164">
        <f>$AU$9</f>
        <v>#VALUE!</v>
      </c>
      <c r="H35" s="18">
        <v>1.2</v>
      </c>
      <c r="I35" s="2" t="e" vm="165">
        <f>$P$4</f>
        <v>#VALUE!</v>
      </c>
      <c r="J35" s="2" t="e" vm="418">
        <f>$T$10</f>
        <v>#VALUE!</v>
      </c>
      <c r="K35" s="2" t="e" vm="151">
        <f>$AF$20</f>
        <v>#VALUE!</v>
      </c>
      <c r="L35" s="2" t="e" vm="115">
        <f>$Z$9</f>
        <v>#VALUE!</v>
      </c>
      <c r="M35" s="2" t="e" vm="419">
        <f>$AI$27</f>
        <v>#VALUE!</v>
      </c>
      <c r="N35" s="6" t="e" vm="168">
        <f>IF(OR(
E35="TravelerAnemo",
E35="TravelerGeo",
E35="TravelerElectro",
E35="TravelerDendro",
E35="TravelerHydro",
E35="TravelerPyro",
E35="TravelerCryo"),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AF35" s="2" t="e" vm="420">
        <f>_xlfn.IMAGE(_xlfn.CONCAT("https://raw.githubusercontent.com/ItsCryp7iC/Genshin-Image-Hosting/main/TalentBooks/",TalentBooksImg[[#This Row],[Name]],".png"),TalentBooksImg[[#This Row],[Name]])</f>
        <v>#VALUE!</v>
      </c>
      <c r="AG35" s="3" t="s">
        <v>435</v>
      </c>
      <c r="AI35" s="2" t="e" vm="421">
        <f>_xlfn.IMAGE(_xlfn.CONCAT("https://raw.githubusercontent.com/ItsCryp7iC/Genshin-Image-Hosting/main/LocalSpecialties/",LocalSpecialtiesImg[[#This Row],[Name]],".png"),LocalSpecialtiesImg[[#This Row],[Name]])</f>
        <v>#VALUE!</v>
      </c>
      <c r="AJ35" s="3" t="s">
        <v>436</v>
      </c>
      <c r="AX35" s="2" t="e" vm="422">
        <f>_xlfn.IMAGE(_xlfn.CONCAT("https://raw.githubusercontent.com/ItsCryp7iC/Genshin-Image-Hosting/main/Weapons/",WeaponsImg[[#This Row],[Name]],".png"),WeaponsImg[[#This Row],[Name]])</f>
        <v>#VALUE!</v>
      </c>
      <c r="AY35" s="3" t="s">
        <v>437</v>
      </c>
      <c r="BA35" s="2" t="e" vm="423">
        <f>_xlfn.IMAGE(_xlfn.CONCAT("https://raw.githubusercontent.com/ItsCryp7iC/Genshin-Image-Hosting/main/WeaponMaterials/",WeaponMaterialsImg[[#This Row],[Name]],".png"),WeaponMaterialsImg[[#This Row],[Name]])</f>
        <v>#VALUE!</v>
      </c>
      <c r="BB35" s="3" t="s">
        <v>438</v>
      </c>
    </row>
    <row r="36" spans="4:54" ht="30" customHeight="1" x14ac:dyDescent="0.25">
      <c r="D36" s="5" t="e" vm="424">
        <f>_xlfn.IMAGE(_xlfn.CONCAT("https://raw.githubusercontent.com/ItsCryp7iC/Genshin-Image-Hosting/main/Characters/",CharacterDetailsImg[[#This Row],[Name]],".png"),CharacterDetailsImg[[#This Row],[Name]])</f>
        <v>#VALUE!</v>
      </c>
      <c r="E36" s="2" t="s">
        <v>439</v>
      </c>
      <c r="F36" s="2" t="e" vm="359">
        <f>$AR$6</f>
        <v>#VALUE!</v>
      </c>
      <c r="G36" s="2" t="e" vm="6">
        <f>$AU$4</f>
        <v>#VALUE!</v>
      </c>
      <c r="H36" s="18">
        <v>2.2999999999999998</v>
      </c>
      <c r="I36" s="2" t="e" vm="180">
        <f>$P$12</f>
        <v>#VALUE!</v>
      </c>
      <c r="J36" s="2" t="e" vm="361">
        <f>$T$17</f>
        <v>#VALUE!</v>
      </c>
      <c r="K36" s="2" t="e" vm="74">
        <f>$AF$26</f>
        <v>#VALUE!</v>
      </c>
      <c r="L36" s="2" t="e" vm="75">
        <f>$Z$11</f>
        <v>#VALUE!</v>
      </c>
      <c r="M36" s="2" t="e" vm="425">
        <f>$AI$33</f>
        <v>#VALUE!</v>
      </c>
      <c r="N36" s="6" t="e" vm="12">
        <f>IF(OR(
E36="TravelerAnemo",
E36="TravelerGeo",
E36="TravelerElectro",
E36="TravelerDendro",
E36="TravelerHydro",
E36="TravelerPyro",
E36="TravelerCryo"),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AF36" s="2" t="e" vm="426">
        <f>_xlfn.IMAGE(_xlfn.CONCAT("https://raw.githubusercontent.com/ItsCryp7iC/Genshin-Image-Hosting/main/TalentBooks/",TalentBooksImg[[#This Row],[Name]],".png"),TalentBooksImg[[#This Row],[Name]])</f>
        <v>#VALUE!</v>
      </c>
      <c r="AG36" s="3" t="s">
        <v>442</v>
      </c>
      <c r="AI36" s="2" t="e" vm="427">
        <f>_xlfn.IMAGE(_xlfn.CONCAT("https://raw.githubusercontent.com/ItsCryp7iC/Genshin-Image-Hosting/main/LocalSpecialties/",LocalSpecialtiesImg[[#This Row],[Name]],".png"),LocalSpecialtiesImg[[#This Row],[Name]])</f>
        <v>#VALUE!</v>
      </c>
      <c r="AJ36" s="3" t="s">
        <v>443</v>
      </c>
      <c r="AX36" s="2" t="e" vm="428">
        <f>_xlfn.IMAGE(_xlfn.CONCAT("https://raw.githubusercontent.com/ItsCryp7iC/Genshin-Image-Hosting/main/Weapons/",WeaponsImg[[#This Row],[Name]],".png"),WeaponsImg[[#This Row],[Name]])</f>
        <v>#VALUE!</v>
      </c>
      <c r="AY36" s="3" t="s">
        <v>444</v>
      </c>
      <c r="BA36" s="2" t="e" vm="429">
        <f>_xlfn.IMAGE(_xlfn.CONCAT("https://raw.githubusercontent.com/ItsCryp7iC/Genshin-Image-Hosting/main/WeaponMaterials/",WeaponMaterialsImg[[#This Row],[Name]],".png"),WeaponMaterialsImg[[#This Row],[Name]])</f>
        <v>#VALUE!</v>
      </c>
      <c r="BB36" s="3" t="s">
        <v>445</v>
      </c>
    </row>
    <row r="37" spans="4:54" ht="30" customHeight="1" x14ac:dyDescent="0.25">
      <c r="D37" s="5" t="e" vm="430">
        <f>_xlfn.IMAGE(_xlfn.CONCAT("https://raw.githubusercontent.com/ItsCryp7iC/Genshin-Image-Hosting/main/Characters/",CharacterDetailsImg[[#This Row],[Name]],".png"),CharacterDetailsImg[[#This Row],[Name]])</f>
        <v>#VALUE!</v>
      </c>
      <c r="E37" s="2" t="s">
        <v>446</v>
      </c>
      <c r="F37" s="2" t="e" vm="359">
        <f>$AR$6</f>
        <v>#VALUE!</v>
      </c>
      <c r="G37" s="2" t="e" vm="91">
        <f>$AU$5</f>
        <v>#VALUE!</v>
      </c>
      <c r="H37" s="18">
        <v>2.1</v>
      </c>
      <c r="I37" s="2" t="e" vm="431">
        <f>$P$15</f>
        <v>#VALUE!</v>
      </c>
      <c r="J37" s="2" t="e" vm="432">
        <f>$T$16</f>
        <v>#VALUE!</v>
      </c>
      <c r="K37" s="2" t="e" vm="182">
        <f>$AF$29</f>
        <v>#VALUE!</v>
      </c>
      <c r="L37" s="2" t="e" vm="133">
        <f>$Z$3</f>
        <v>#VALUE!</v>
      </c>
      <c r="M37" s="2" t="e" vm="433">
        <f>$AI$11</f>
        <v>#VALUE!</v>
      </c>
      <c r="N37" s="6" t="e" vm="97">
        <f>IF(OR(
E37="TravelerAnemo",
E37="TravelerGeo",
E37="TravelerElectro",
E37="TravelerDendro",
E37="TravelerHydro",
E37="TravelerPyro",
E37="TravelerCryo"),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AF37" s="2" t="e" vm="434">
        <f>_xlfn.IMAGE(_xlfn.CONCAT("https://raw.githubusercontent.com/ItsCryp7iC/Genshin-Image-Hosting/main/TalentBooks/",TalentBooksImg[[#This Row],[Name]],".png"),TalentBooksImg[[#This Row],[Name]])</f>
        <v>#VALUE!</v>
      </c>
      <c r="AG37" s="3" t="s">
        <v>448</v>
      </c>
      <c r="AI37" s="2" t="e" vm="435">
        <f>_xlfn.IMAGE(_xlfn.CONCAT("https://raw.githubusercontent.com/ItsCryp7iC/Genshin-Image-Hosting/main/LocalSpecialties/",LocalSpecialtiesImg[[#This Row],[Name]],".png"),LocalSpecialtiesImg[[#This Row],[Name]])</f>
        <v>#VALUE!</v>
      </c>
      <c r="AJ37" s="3" t="s">
        <v>449</v>
      </c>
      <c r="AX37" s="2" t="e" vm="436">
        <f>_xlfn.IMAGE(_xlfn.CONCAT("https://raw.githubusercontent.com/ItsCryp7iC/Genshin-Image-Hosting/main/Weapons/",WeaponsImg[[#This Row],[Name]],".png"),WeaponsImg[[#This Row],[Name]])</f>
        <v>#VALUE!</v>
      </c>
      <c r="AY37" s="3" t="s">
        <v>450</v>
      </c>
      <c r="BA37" s="2" t="e" vm="437">
        <f>_xlfn.IMAGE(_xlfn.CONCAT("https://raw.githubusercontent.com/ItsCryp7iC/Genshin-Image-Hosting/main/WeaponMaterials/",WeaponMaterialsImg[[#This Row],[Name]],".png"),WeaponMaterialsImg[[#This Row],[Name]])</f>
        <v>#VALUE!</v>
      </c>
      <c r="BB37" s="3" t="s">
        <v>451</v>
      </c>
    </row>
    <row r="38" spans="4:54" ht="30" customHeight="1" x14ac:dyDescent="0.25">
      <c r="D38" s="5" t="e" vm="438">
        <f>_xlfn.IMAGE(_xlfn.CONCAT("https://raw.githubusercontent.com/ItsCryp7iC/Genshin-Image-Hosting/main/Characters/",CharacterDetailsImg[[#This Row],[Name]],".png"),CharacterDetailsImg[[#This Row],[Name]])</f>
        <v>#VALUE!</v>
      </c>
      <c r="E38" s="2" t="s">
        <v>452</v>
      </c>
      <c r="F38" s="2" t="e" vm="359">
        <f>$AR$6</f>
        <v>#VALUE!</v>
      </c>
      <c r="G38" s="2" t="e" vm="50">
        <f>$AU$8</f>
        <v>#VALUE!</v>
      </c>
      <c r="H38" s="18">
        <v>4</v>
      </c>
      <c r="I38" s="2" t="e" vm="439">
        <f>$P$28</f>
        <v>#VALUE!</v>
      </c>
      <c r="J38" s="2" t="e" vm="440">
        <f>$T$24</f>
        <v>#VALUE!</v>
      </c>
      <c r="K38" s="2" t="e" vm="441">
        <f>$AF$47</f>
        <v>#VALUE!</v>
      </c>
      <c r="L38" s="2" t="e" vm="442">
        <f>$Z$8</f>
        <v>#VALUE!</v>
      </c>
      <c r="M38" s="2" t="e" vm="443">
        <f>$AI$28</f>
        <v>#VALUE!</v>
      </c>
      <c r="N38" s="6" t="e" vm="56">
        <f>IF(OR(
E38="TravelerAnemo",
E38="TravelerGeo",
E38="TravelerElectro",
E38="TravelerDendro",
E38="TravelerHydro",
E38="TravelerPyro",
E38="TravelerCryo"),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AF38" s="2" t="e" vm="444">
        <f>_xlfn.IMAGE(_xlfn.CONCAT("https://raw.githubusercontent.com/ItsCryp7iC/Genshin-Image-Hosting/main/TalentBooks/",TalentBooksImg[[#This Row],[Name]],".png"),TalentBooksImg[[#This Row],[Name]])</f>
        <v>#VALUE!</v>
      </c>
      <c r="AG38" s="3" t="s">
        <v>454</v>
      </c>
      <c r="AI38" s="2" t="e" vm="445">
        <f>_xlfn.IMAGE(_xlfn.CONCAT("https://raw.githubusercontent.com/ItsCryp7iC/Genshin-Image-Hosting/main/LocalSpecialties/",LocalSpecialtiesImg[[#This Row],[Name]],".png"),LocalSpecialtiesImg[[#This Row],[Name]])</f>
        <v>#VALUE!</v>
      </c>
      <c r="AJ38" s="3" t="s">
        <v>455</v>
      </c>
      <c r="AX38" s="2" t="e" vm="446">
        <f>_xlfn.IMAGE(_xlfn.CONCAT("https://raw.githubusercontent.com/ItsCryp7iC/Genshin-Image-Hosting/main/Weapons/",WeaponsImg[[#This Row],[Name]],".png"),WeaponsImg[[#This Row],[Name]])</f>
        <v>#VALUE!</v>
      </c>
      <c r="AY38" s="3" t="s">
        <v>456</v>
      </c>
      <c r="BA38" s="2" t="e" vm="447">
        <f>_xlfn.IMAGE(_xlfn.CONCAT("https://raw.githubusercontent.com/ItsCryp7iC/Genshin-Image-Hosting/main/WeaponMaterials/",WeaponMaterialsImg[[#This Row],[Name]],".png"),WeaponMaterialsImg[[#This Row],[Name]])</f>
        <v>#VALUE!</v>
      </c>
      <c r="BB38" s="3" t="s">
        <v>457</v>
      </c>
    </row>
    <row r="39" spans="4:54" ht="30" customHeight="1" x14ac:dyDescent="0.25">
      <c r="D39" s="5" t="e" vm="448">
        <f>_xlfn.IMAGE(_xlfn.CONCAT("https://raw.githubusercontent.com/ItsCryp7iC/Genshin-Image-Hosting/main/Characters/",CharacterDetailsImg[[#This Row],[Name]],".png"),CharacterDetailsImg[[#This Row],[Name]])</f>
        <v>#VALUE!</v>
      </c>
      <c r="E39" s="2" t="s">
        <v>25</v>
      </c>
      <c r="F39" s="2" t="e" vm="359">
        <f>$AR$6</f>
        <v>#VALUE!</v>
      </c>
      <c r="G39" s="2" t="e" vm="91">
        <f>$AU$5</f>
        <v>#VALUE!</v>
      </c>
      <c r="H39" s="18">
        <v>4.8</v>
      </c>
      <c r="I39" s="2" t="e" vm="449">
        <f>$P$32</f>
        <v>#VALUE!</v>
      </c>
      <c r="J39" s="2" t="e" vm="450">
        <f>$T$22</f>
        <v>#VALUE!</v>
      </c>
      <c r="K39" s="2" t="e" vm="270">
        <f>$AF$38</f>
        <v>#VALUE!</v>
      </c>
      <c r="L39" s="2" t="e" vm="32">
        <f>$Z$13</f>
        <v>#VALUE!</v>
      </c>
      <c r="M39" s="2" t="e" vm="451">
        <f>$AI$41</f>
        <v>#VALUE!</v>
      </c>
      <c r="N39" s="6" t="e" vm="97">
        <f>IF(OR(
E39="TravelerAnemo",
E39="TravelerGeo",
E39="TravelerElectro",
E39="TravelerDendro",
E39="TravelerHydro",
E39="TravelerPyro",
E39="TravelerCryo"),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AF39" s="2" t="e" vm="452">
        <f>_xlfn.IMAGE(_xlfn.CONCAT("https://raw.githubusercontent.com/ItsCryp7iC/Genshin-Image-Hosting/main/TalentBooks/",TalentBooksImg[[#This Row],[Name]],".png"),TalentBooksImg[[#This Row],[Name]])</f>
        <v>#VALUE!</v>
      </c>
      <c r="AG39" s="3" t="s">
        <v>460</v>
      </c>
      <c r="AI39" s="2" t="e" vm="453">
        <f>_xlfn.IMAGE(_xlfn.CONCAT("https://raw.githubusercontent.com/ItsCryp7iC/Genshin-Image-Hosting/main/LocalSpecialties/",LocalSpecialtiesImg[[#This Row],[Name]],".png"),LocalSpecialtiesImg[[#This Row],[Name]])</f>
        <v>#VALUE!</v>
      </c>
      <c r="AJ39" s="3" t="s">
        <v>461</v>
      </c>
      <c r="AX39" s="2" t="e" vm="454">
        <f>_xlfn.IMAGE(_xlfn.CONCAT("https://raw.githubusercontent.com/ItsCryp7iC/Genshin-Image-Hosting/main/Weapons/",WeaponsImg[[#This Row],[Name]],".png"),WeaponsImg[[#This Row],[Name]])</f>
        <v>#VALUE!</v>
      </c>
      <c r="AY39" s="3" t="s">
        <v>462</v>
      </c>
      <c r="BA39" s="2" t="e" vm="455">
        <f>_xlfn.IMAGE(_xlfn.CONCAT("https://raw.githubusercontent.com/ItsCryp7iC/Genshin-Image-Hosting/main/WeaponMaterials/",WeaponMaterialsImg[[#This Row],[Name]],".png"),WeaponMaterialsImg[[#This Row],[Name]])</f>
        <v>#VALUE!</v>
      </c>
      <c r="BB39" s="3" t="s">
        <v>463</v>
      </c>
    </row>
    <row r="40" spans="4:54" ht="30" customHeight="1" x14ac:dyDescent="0.25">
      <c r="D40" s="5" t="e" vm="456">
        <f>_xlfn.IMAGE(_xlfn.CONCAT("https://raw.githubusercontent.com/ItsCryp7iC/Genshin-Image-Hosting/main/Characters/",CharacterDetailsImg[[#This Row],[Name]],".png"),CharacterDetailsImg[[#This Row],[Name]])</f>
        <v>#VALUE!</v>
      </c>
      <c r="E40" s="2" t="s">
        <v>464</v>
      </c>
      <c r="F40" s="2" t="e" vm="359">
        <f>$AR$6</f>
        <v>#VALUE!</v>
      </c>
      <c r="G40" s="2" t="e" vm="112">
        <f>$AU$7</f>
        <v>#VALUE!</v>
      </c>
      <c r="H40" s="18">
        <v>1.1000000000000001</v>
      </c>
      <c r="I40" s="2" t="e" vm="348">
        <f>$P$7</f>
        <v>#VALUE!</v>
      </c>
      <c r="J40" s="2" t="e" vm="393">
        <f>$T$9</f>
        <v>#VALUE!</v>
      </c>
      <c r="K40" s="2" t="e" vm="362">
        <f>$AF$11</f>
        <v>#VALUE!</v>
      </c>
      <c r="L40" s="2" t="e" vm="442">
        <f>$Z$8</f>
        <v>#VALUE!</v>
      </c>
      <c r="M40" s="2" t="e" vm="457">
        <f>$AI$39</f>
        <v>#VALUE!</v>
      </c>
      <c r="N40" s="6" t="e" vm="117">
        <f>IF(OR(
E40="TravelerAnemo",
E40="TravelerGeo",
E40="TravelerElectro",
E40="TravelerDendro",
E40="TravelerHydro",
E40="TravelerPyro",
E40="TravelerCryo"),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AF40" s="2" t="e" vm="458">
        <f>_xlfn.IMAGE(_xlfn.CONCAT("https://raw.githubusercontent.com/ItsCryp7iC/Genshin-Image-Hosting/main/TalentBooks/",TalentBooksImg[[#This Row],[Name]],".png"),TalentBooksImg[[#This Row],[Name]])</f>
        <v>#VALUE!</v>
      </c>
      <c r="AG40" s="3" t="s">
        <v>466</v>
      </c>
      <c r="AI40" s="2" t="e" vm="459">
        <f>_xlfn.IMAGE(_xlfn.CONCAT("https://raw.githubusercontent.com/ItsCryp7iC/Genshin-Image-Hosting/main/LocalSpecialties/",LocalSpecialtiesImg[[#This Row],[Name]],".png"),LocalSpecialtiesImg[[#This Row],[Name]])</f>
        <v>#VALUE!</v>
      </c>
      <c r="AJ40" s="3" t="s">
        <v>467</v>
      </c>
      <c r="AX40" s="2" t="e" vm="460">
        <f>_xlfn.IMAGE(_xlfn.CONCAT("https://raw.githubusercontent.com/ItsCryp7iC/Genshin-Image-Hosting/main/Weapons/",WeaponsImg[[#This Row],[Name]],".png"),WeaponsImg[[#This Row],[Name]])</f>
        <v>#VALUE!</v>
      </c>
      <c r="AY40" s="3" t="s">
        <v>468</v>
      </c>
      <c r="BA40" s="2" t="e" vm="461">
        <f>_xlfn.IMAGE(_xlfn.CONCAT("https://raw.githubusercontent.com/ItsCryp7iC/Genshin-Image-Hosting/main/WeaponMaterials/",WeaponMaterialsImg[[#This Row],[Name]],".png"),WeaponMaterialsImg[[#This Row],[Name]])</f>
        <v>#VALUE!</v>
      </c>
      <c r="BB40" s="3" t="s">
        <v>469</v>
      </c>
    </row>
    <row r="41" spans="4:54" ht="30" customHeight="1" x14ac:dyDescent="0.25">
      <c r="D41" s="5" t="e" vm="462">
        <f>_xlfn.IMAGE(_xlfn.CONCAT("https://raw.githubusercontent.com/ItsCryp7iC/Genshin-Image-Hosting/main/Characters/",CharacterDetailsImg[[#This Row],[Name]],".png"),CharacterDetailsImg[[#This Row],[Name]])</f>
        <v>#VALUE!</v>
      </c>
      <c r="E41" s="2" t="s">
        <v>470</v>
      </c>
      <c r="F41" s="2" t="e" vm="359">
        <f>$AR$6</f>
        <v>#VALUE!</v>
      </c>
      <c r="G41" s="2" t="e" vm="28">
        <f>$AU$6</f>
        <v>#VALUE!</v>
      </c>
      <c r="H41" s="18">
        <v>3</v>
      </c>
      <c r="I41" s="2" t="e" vm="383">
        <f>$P$20</f>
        <v>#VALUE!</v>
      </c>
      <c r="J41" s="2" t="e" vm="463">
        <f>$T$19</f>
        <v>#VALUE!</v>
      </c>
      <c r="K41" s="2" t="e" vm="404">
        <f>$AF$35</f>
        <v>#VALUE!</v>
      </c>
      <c r="L41" s="2" t="e" vm="271">
        <f>$Z$12</f>
        <v>#VALUE!</v>
      </c>
      <c r="M41" s="2" t="e" vm="250">
        <f>$AI$22</f>
        <v>#VALUE!</v>
      </c>
      <c r="N41" s="6" t="e" vm="34">
        <f>IF(OR(
E41="TravelerAnemo",
E41="TravelerGeo",
E41="TravelerElectro",
E41="TravelerDendro",
E41="TravelerHydro",
E41="TravelerPyro",
E41="TravelerCryo"),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AF41" s="2" t="e" vm="464">
        <f>_xlfn.IMAGE(_xlfn.CONCAT("https://raw.githubusercontent.com/ItsCryp7iC/Genshin-Image-Hosting/main/TalentBooks/",TalentBooksImg[[#This Row],[Name]],".png"),TalentBooksImg[[#This Row],[Name]])</f>
        <v>#VALUE!</v>
      </c>
      <c r="AG41" s="3" t="s">
        <v>472</v>
      </c>
      <c r="AI41" s="2" t="e" vm="465">
        <f>_xlfn.IMAGE(_xlfn.CONCAT("https://raw.githubusercontent.com/ItsCryp7iC/Genshin-Image-Hosting/main/LocalSpecialties/",LocalSpecialtiesImg[[#This Row],[Name]],".png"),LocalSpecialtiesImg[[#This Row],[Name]])</f>
        <v>#VALUE!</v>
      </c>
      <c r="AJ41" s="3" t="s">
        <v>41</v>
      </c>
      <c r="AX41" s="2" t="e" vm="466">
        <f>_xlfn.IMAGE(_xlfn.CONCAT("https://raw.githubusercontent.com/ItsCryp7iC/Genshin-Image-Hosting/main/Weapons/",WeaponsImg[[#This Row],[Name]],".png"),WeaponsImg[[#This Row],[Name]])</f>
        <v>#VALUE!</v>
      </c>
      <c r="AY41" s="3" t="s">
        <v>473</v>
      </c>
      <c r="BA41" s="2" t="e" vm="467">
        <f>_xlfn.IMAGE(_xlfn.CONCAT("https://raw.githubusercontent.com/ItsCryp7iC/Genshin-Image-Hosting/main/WeaponMaterials/",WeaponMaterialsImg[[#This Row],[Name]],".png"),WeaponMaterialsImg[[#This Row],[Name]])</f>
        <v>#VALUE!</v>
      </c>
      <c r="BB41" s="3" t="s">
        <v>474</v>
      </c>
    </row>
    <row r="42" spans="4:54" ht="30" customHeight="1" x14ac:dyDescent="0.25">
      <c r="D42" s="5" t="e" vm="468">
        <f>_xlfn.IMAGE(_xlfn.CONCAT("https://raw.githubusercontent.com/ItsCryp7iC/Genshin-Image-Hosting/main/Characters/",CharacterDetailsImg[[#This Row],[Name]],".png"),CharacterDetailsImg[[#This Row],[Name]])</f>
        <v>#VALUE!</v>
      </c>
      <c r="E42" s="2" t="s">
        <v>475</v>
      </c>
      <c r="F42" s="2" t="e" vm="359">
        <f>$AR$6</f>
        <v>#VALUE!</v>
      </c>
      <c r="G42" s="2" t="e" vm="131">
        <f>$AU$3</f>
        <v>#VALUE!</v>
      </c>
      <c r="H42" s="18">
        <v>1</v>
      </c>
      <c r="I42" s="2" t="e" vm="132">
        <f>$P$3</f>
        <v>#VALUE!</v>
      </c>
      <c r="J42" s="2" t="e" vm="281">
        <f>$T$6</f>
        <v>#VALUE!</v>
      </c>
      <c r="K42" s="2" t="e" vm="9">
        <f>$AF$5</f>
        <v>#VALUE!</v>
      </c>
      <c r="L42" s="2" t="e" vm="469">
        <f>$Z$6</f>
        <v>#VALUE!</v>
      </c>
      <c r="M42" s="2" t="e" vm="11">
        <f>$AI$6</f>
        <v>#VALUE!</v>
      </c>
      <c r="N42" s="6" t="e" vm="135">
        <f>IF(OR(
E42="TravelerAnemo",
E42="TravelerGeo",
E42="TravelerElectro",
E42="TravelerDendro",
E42="TravelerHydro",
E42="TravelerPyro",
E42="TravelerCryo"),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AF42" s="2" t="e" vm="470">
        <f>_xlfn.IMAGE(_xlfn.CONCAT("https://raw.githubusercontent.com/ItsCryp7iC/Genshin-Image-Hosting/main/TalentBooks/",TalentBooksImg[[#This Row],[Name]],".png"),TalentBooksImg[[#This Row],[Name]])</f>
        <v>#VALUE!</v>
      </c>
      <c r="AG42" s="3" t="s">
        <v>476</v>
      </c>
      <c r="AI42" s="2" t="e" vm="471">
        <f>_xlfn.IMAGE(_xlfn.CONCAT("https://raw.githubusercontent.com/ItsCryp7iC/Genshin-Image-Hosting/main/LocalSpecialties/",LocalSpecialtiesImg[[#This Row],[Name]],".png"),LocalSpecialtiesImg[[#This Row],[Name]])</f>
        <v>#VALUE!</v>
      </c>
      <c r="AJ42" s="3" t="s">
        <v>477</v>
      </c>
      <c r="AX42" s="2" t="e" vm="472">
        <f>_xlfn.IMAGE(_xlfn.CONCAT("https://raw.githubusercontent.com/ItsCryp7iC/Genshin-Image-Hosting/main/Weapons/",WeaponsImg[[#This Row],[Name]],".png"),WeaponsImg[[#This Row],[Name]])</f>
        <v>#VALUE!</v>
      </c>
      <c r="AY42" s="3" t="s">
        <v>478</v>
      </c>
      <c r="BA42" s="2" t="e" vm="473">
        <f>_xlfn.IMAGE(_xlfn.CONCAT("https://raw.githubusercontent.com/ItsCryp7iC/Genshin-Image-Hosting/main/WeaponMaterials/",WeaponMaterialsImg[[#This Row],[Name]],".png"),WeaponMaterialsImg[[#This Row],[Name]])</f>
        <v>#VALUE!</v>
      </c>
      <c r="BB42" s="3" t="s">
        <v>479</v>
      </c>
    </row>
    <row r="43" spans="4:54" ht="30" customHeight="1" x14ac:dyDescent="0.25">
      <c r="D43" s="5" t="e" vm="474">
        <f>_xlfn.IMAGE(_xlfn.CONCAT("https://raw.githubusercontent.com/ItsCryp7iC/Genshin-Image-Hosting/main/Characters/",CharacterDetailsImg[[#This Row],[Name]],".png"),CharacterDetailsImg[[#This Row],[Name]])</f>
        <v>#VALUE!</v>
      </c>
      <c r="E43" s="2" t="s">
        <v>480</v>
      </c>
      <c r="F43" s="2" t="e" vm="359">
        <f>$AR$6</f>
        <v>#VALUE!</v>
      </c>
      <c r="G43" s="2" t="e" vm="112">
        <f>$AU$7</f>
        <v>#VALUE!</v>
      </c>
      <c r="H43" s="18">
        <v>2.7</v>
      </c>
      <c r="I43" s="2" t="e" vm="238">
        <f>$P$18</f>
        <v>#VALUE!</v>
      </c>
      <c r="J43" s="2" t="e" vm="150">
        <f>$T$13</f>
        <v>#VALUE!</v>
      </c>
      <c r="K43" s="2" t="e" vm="211">
        <f>$AF$17</f>
        <v>#VALUE!</v>
      </c>
      <c r="L43" s="2" t="e" vm="442">
        <f>$Z$8</f>
        <v>#VALUE!</v>
      </c>
      <c r="M43" s="2" t="e" vm="457">
        <f>$AI$39</f>
        <v>#VALUE!</v>
      </c>
      <c r="N43" s="6" t="e" vm="117">
        <f>IF(OR(
E43="TravelerAnemo",
E43="TravelerGeo",
E43="TravelerElectro",
E43="TravelerDendro",
E43="TravelerHydro",
E43="TravelerPyro",
E43="TravelerCryo"),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AF43" s="2" t="e" vm="475">
        <f>_xlfn.IMAGE(_xlfn.CONCAT("https://raw.githubusercontent.com/ItsCryp7iC/Genshin-Image-Hosting/main/TalentBooks/",TalentBooksImg[[#This Row],[Name]],".png"),TalentBooksImg[[#This Row],[Name]])</f>
        <v>#VALUE!</v>
      </c>
      <c r="AG43" s="3" t="s">
        <v>481</v>
      </c>
      <c r="AI43" s="2" t="e" vm="476">
        <f>_xlfn.IMAGE(_xlfn.CONCAT("https://raw.githubusercontent.com/ItsCryp7iC/Genshin-Image-Hosting/main/LocalSpecialties/",LocalSpecialtiesImg[[#This Row],[Name]],".png"),LocalSpecialtiesImg[[#This Row],[Name]])</f>
        <v>#VALUE!</v>
      </c>
      <c r="AJ43" s="3" t="s">
        <v>482</v>
      </c>
      <c r="AX43" s="2" t="e" vm="477">
        <f>_xlfn.IMAGE(_xlfn.CONCAT("https://raw.githubusercontent.com/ItsCryp7iC/Genshin-Image-Hosting/main/Weapons/",WeaponsImg[[#This Row],[Name]],".png"),WeaponsImg[[#This Row],[Name]])</f>
        <v>#VALUE!</v>
      </c>
      <c r="AY43" s="3" t="s">
        <v>483</v>
      </c>
      <c r="BA43" s="2" t="e" vm="478">
        <f>_xlfn.IMAGE(_xlfn.CONCAT("https://raw.githubusercontent.com/ItsCryp7iC/Genshin-Image-Hosting/main/WeaponMaterials/",WeaponMaterialsImg[[#This Row],[Name]],".png"),WeaponMaterialsImg[[#This Row],[Name]])</f>
        <v>#VALUE!</v>
      </c>
      <c r="BB43" s="3" t="s">
        <v>484</v>
      </c>
    </row>
    <row r="44" spans="4:54" ht="30" customHeight="1" x14ac:dyDescent="0.25">
      <c r="D44" s="5" t="e" vm="479">
        <f>_xlfn.IMAGE(_xlfn.CONCAT("https://raw.githubusercontent.com/ItsCryp7iC/Genshin-Image-Hosting/main/Characters/",CharacterDetailsImg[[#This Row],[Name]],".png"),CharacterDetailsImg[[#This Row],[Name]])</f>
        <v>#VALUE!</v>
      </c>
      <c r="E44" s="2" t="s">
        <v>485</v>
      </c>
      <c r="F44" s="2" t="e" vm="359">
        <f>$AR$6</f>
        <v>#VALUE!</v>
      </c>
      <c r="G44" s="2" t="e" vm="50">
        <f>$AU$8</f>
        <v>#VALUE!</v>
      </c>
      <c r="H44" s="18">
        <v>2</v>
      </c>
      <c r="I44" s="2" t="e" vm="480">
        <f>$P$13</f>
        <v>#VALUE!</v>
      </c>
      <c r="J44" s="2" t="e" vm="481">
        <f>$T$12</f>
        <v>#VALUE!</v>
      </c>
      <c r="K44" s="2" t="e" vm="225">
        <f>$AF$23</f>
        <v>#VALUE!</v>
      </c>
      <c r="L44" s="2" t="e" vm="10">
        <f>$Z$5</f>
        <v>#VALUE!</v>
      </c>
      <c r="M44" s="2" t="e" vm="240">
        <f>$AI$21</f>
        <v>#VALUE!</v>
      </c>
      <c r="N44" s="6" t="e" vm="56">
        <f>IF(OR(
E44="TravelerAnemo",
E44="TravelerGeo",
E44="TravelerElectro",
E44="TravelerDendro",
E44="TravelerHydro",
E44="TravelerPyro",
E44="TravelerCryo"),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AF44" s="2" t="e" vm="482">
        <f>_xlfn.IMAGE(_xlfn.CONCAT("https://raw.githubusercontent.com/ItsCryp7iC/Genshin-Image-Hosting/main/TalentBooks/",TalentBooksImg[[#This Row],[Name]],".png"),TalentBooksImg[[#This Row],[Name]])</f>
        <v>#VALUE!</v>
      </c>
      <c r="AG44" s="3" t="s">
        <v>486</v>
      </c>
      <c r="AI44" s="2" t="e" vm="483">
        <f>_xlfn.IMAGE(_xlfn.CONCAT("https://raw.githubusercontent.com/ItsCryp7iC/Genshin-Image-Hosting/main/LocalSpecialties/",LocalSpecialtiesImg[[#This Row],[Name]],".png"),LocalSpecialtiesImg[[#This Row],[Name]])</f>
        <v>#VALUE!</v>
      </c>
      <c r="AJ44" s="3" t="s">
        <v>487</v>
      </c>
      <c r="AX44" s="2" t="e" vm="484">
        <f>_xlfn.IMAGE(_xlfn.CONCAT("https://raw.githubusercontent.com/ItsCryp7iC/Genshin-Image-Hosting/main/Weapons/",WeaponsImg[[#This Row],[Name]],".png"),WeaponsImg[[#This Row],[Name]])</f>
        <v>#VALUE!</v>
      </c>
      <c r="AY44" s="3" t="s">
        <v>488</v>
      </c>
      <c r="BA44" s="2" t="e" vm="485">
        <f>_xlfn.IMAGE(_xlfn.CONCAT("https://raw.githubusercontent.com/ItsCryp7iC/Genshin-Image-Hosting/main/WeaponMaterials/",WeaponMaterialsImg[[#This Row],[Name]],".png"),WeaponMaterialsImg[[#This Row],[Name]])</f>
        <v>#VALUE!</v>
      </c>
      <c r="BB44" s="3" t="s">
        <v>489</v>
      </c>
    </row>
    <row r="45" spans="4:54" ht="30" customHeight="1" x14ac:dyDescent="0.25">
      <c r="D45" s="5" t="e" vm="486">
        <f>_xlfn.IMAGE(_xlfn.CONCAT("https://raw.githubusercontent.com/ItsCryp7iC/Genshin-Image-Hosting/main/Characters/",CharacterDetailsImg[[#This Row],[Name]],".png"),CharacterDetailsImg[[#This Row],[Name]])</f>
        <v>#VALUE!</v>
      </c>
      <c r="E45" s="2" t="s">
        <v>490</v>
      </c>
      <c r="F45" s="2" t="e" vm="487">
        <f>$AR$4</f>
        <v>#VALUE!</v>
      </c>
      <c r="G45" s="2" t="e" vm="6">
        <f>$AU$4</f>
        <v>#VALUE!</v>
      </c>
      <c r="H45" s="18">
        <v>2.2999999999999998</v>
      </c>
      <c r="I45" s="2" t="e" vm="488">
        <f>$P$16</f>
        <v>#VALUE!</v>
      </c>
      <c r="J45" s="2" t="e" vm="432">
        <f>$T$16</f>
        <v>#VALUE!</v>
      </c>
      <c r="K45" s="2" t="e" vm="182">
        <f>$AF$29</f>
        <v>#VALUE!</v>
      </c>
      <c r="L45" s="2" t="e" vm="469">
        <f>$Z$6</f>
        <v>#VALUE!</v>
      </c>
      <c r="M45" s="2" t="e" vm="489">
        <f>$AI$24</f>
        <v>#VALUE!</v>
      </c>
      <c r="N45" s="6" t="e" vm="12">
        <f>IF(OR(
E45="TravelerAnemo",
E45="TravelerGeo",
E45="TravelerElectro",
E45="TravelerDendro",
E45="TravelerHydro",
E45="TravelerPyro",
E45="TravelerCryo"),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AF45" s="2" t="e" vm="490">
        <f>_xlfn.IMAGE(_xlfn.CONCAT("https://raw.githubusercontent.com/ItsCryp7iC/Genshin-Image-Hosting/main/TalentBooks/",TalentBooksImg[[#This Row],[Name]],".png"),TalentBooksImg[[#This Row],[Name]])</f>
        <v>#VALUE!</v>
      </c>
      <c r="AG45" s="3" t="s">
        <v>491</v>
      </c>
      <c r="AI45" s="2" t="e" vm="491">
        <f>_xlfn.IMAGE(_xlfn.CONCAT("https://raw.githubusercontent.com/ItsCryp7iC/Genshin-Image-Hosting/main/LocalSpecialties/",LocalSpecialtiesImg[[#This Row],[Name]],".png"),LocalSpecialtiesImg[[#This Row],[Name]])</f>
        <v>#VALUE!</v>
      </c>
      <c r="AJ45" s="3" t="s">
        <v>492</v>
      </c>
      <c r="AX45" s="2" t="e" vm="492">
        <f>_xlfn.IMAGE(_xlfn.CONCAT("https://raw.githubusercontent.com/ItsCryp7iC/Genshin-Image-Hosting/main/Weapons/",WeaponsImg[[#This Row],[Name]],".png"),WeaponsImg[[#This Row],[Name]])</f>
        <v>#VALUE!</v>
      </c>
      <c r="AY45" s="3" t="s">
        <v>493</v>
      </c>
      <c r="BA45" s="2" t="e" vm="493">
        <f>_xlfn.IMAGE(_xlfn.CONCAT("https://raw.githubusercontent.com/ItsCryp7iC/Genshin-Image-Hosting/main/WeaponMaterials/",WeaponMaterialsImg[[#This Row],[Name]],".png"),WeaponMaterialsImg[[#This Row],[Name]])</f>
        <v>#VALUE!</v>
      </c>
      <c r="BB45" s="3" t="s">
        <v>494</v>
      </c>
    </row>
    <row r="46" spans="4:54" ht="30" customHeight="1" x14ac:dyDescent="0.25">
      <c r="D46" s="5" t="e" vm="494">
        <f>_xlfn.IMAGE(_xlfn.CONCAT("https://raw.githubusercontent.com/ItsCryp7iC/Genshin-Image-Hosting/main/Characters/",CharacterDetailsImg[[#This Row],[Name]],".png"),CharacterDetailsImg[[#This Row],[Name]])</f>
        <v>#VALUE!</v>
      </c>
      <c r="E46" s="2" t="s">
        <v>495</v>
      </c>
      <c r="F46" s="2" t="e" vm="487">
        <f>$AR$4</f>
        <v>#VALUE!</v>
      </c>
      <c r="G46" s="2" t="e" vm="91">
        <f>$AU$5</f>
        <v>#VALUE!</v>
      </c>
      <c r="H46" s="18">
        <v>1</v>
      </c>
      <c r="I46" s="2" t="e" vm="209">
        <f>$P$5</f>
        <v>#VALUE!</v>
      </c>
      <c r="J46" s="4" t="e" vm="372">
        <f>$T$5</f>
        <v>#VALUE!</v>
      </c>
      <c r="K46" s="4" t="e" vm="349">
        <f>$AF$14</f>
        <v>#VALUE!</v>
      </c>
      <c r="L46" s="4" t="e" vm="54">
        <f>$Z$7</f>
        <v>#VALUE!</v>
      </c>
      <c r="M46" s="2" t="e" vm="495">
        <f>$AI$23</f>
        <v>#VALUE!</v>
      </c>
      <c r="N46" s="6" t="e" vm="97">
        <f>IF(OR(
E46="TravelerAnemo",
E46="TravelerGeo",
E46="TravelerElectro",
E46="TravelerDendro",
E46="TravelerHydro",
E46="TravelerPyro",
E46="TravelerCryo"),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AF46" s="2" t="e" vm="496">
        <f>_xlfn.IMAGE(_xlfn.CONCAT("https://raw.githubusercontent.com/ItsCryp7iC/Genshin-Image-Hosting/main/TalentBooks/",TalentBooksImg[[#This Row],[Name]],".png"),TalentBooksImg[[#This Row],[Name]])</f>
        <v>#VALUE!</v>
      </c>
      <c r="AG46" s="3" t="s">
        <v>496</v>
      </c>
      <c r="AX46" s="2" t="e" vm="497">
        <f>_xlfn.IMAGE(_xlfn.CONCAT("https://raw.githubusercontent.com/ItsCryp7iC/Genshin-Image-Hosting/main/Weapons/",WeaponsImg[[#This Row],[Name]],".png"),WeaponsImg[[#This Row],[Name]])</f>
        <v>#VALUE!</v>
      </c>
      <c r="AY46" s="3" t="s">
        <v>497</v>
      </c>
      <c r="BA46" s="2" t="e" vm="498">
        <f>_xlfn.IMAGE(_xlfn.CONCAT("https://raw.githubusercontent.com/ItsCryp7iC/Genshin-Image-Hosting/main/WeaponMaterials/",WeaponMaterialsImg[[#This Row],[Name]],".png"),WeaponMaterialsImg[[#This Row],[Name]])</f>
        <v>#VALUE!</v>
      </c>
      <c r="BB46" s="3" t="s">
        <v>498</v>
      </c>
    </row>
    <row r="47" spans="4:54" ht="30" customHeight="1" x14ac:dyDescent="0.25">
      <c r="D47" s="5" t="e" vm="499">
        <f>_xlfn.IMAGE(_xlfn.CONCAT("https://raw.githubusercontent.com/ItsCryp7iC/Genshin-Image-Hosting/main/Characters/",CharacterDetailsImg[[#This Row],[Name]],".png"),CharacterDetailsImg[[#This Row],[Name]])</f>
        <v>#VALUE!</v>
      </c>
      <c r="E47" s="2" t="s">
        <v>499</v>
      </c>
      <c r="F47" s="2" t="e" vm="487">
        <f>$AR$4</f>
        <v>#VALUE!</v>
      </c>
      <c r="G47" s="2" t="e" vm="164">
        <f>$AU$9</f>
        <v>#VALUE!</v>
      </c>
      <c r="H47" s="18">
        <v>1</v>
      </c>
      <c r="I47" s="4" t="e" vm="165">
        <f>$P$4</f>
        <v>#VALUE!</v>
      </c>
      <c r="J47" s="4" t="e" vm="372">
        <f>$T$5</f>
        <v>#VALUE!</v>
      </c>
      <c r="K47" s="4" t="e" vm="151">
        <f>$AF$20</f>
        <v>#VALUE!</v>
      </c>
      <c r="L47" s="4" t="e" vm="133">
        <f>$Z$3</f>
        <v>#VALUE!</v>
      </c>
      <c r="M47" s="4" t="e" vm="212">
        <f>$AI$8</f>
        <v>#VALUE!</v>
      </c>
      <c r="N47" s="6" t="e" vm="168">
        <f>IF(OR(
E47="TravelerAnemo",
E47="TravelerGeo",
E47="TravelerElectro",
E47="TravelerDendro",
E47="TravelerHydro",
E47="TravelerPyro",
E47="TravelerCryo"),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AF47" s="2" t="e" vm="500">
        <f>_xlfn.IMAGE(_xlfn.CONCAT("https://raw.githubusercontent.com/ItsCryp7iC/Genshin-Image-Hosting/main/TalentBooks/",TalentBooksImg[[#This Row],[Name]],".png"),TalentBooksImg[[#This Row],[Name]])</f>
        <v>#VALUE!</v>
      </c>
      <c r="AG47" s="3" t="s">
        <v>500</v>
      </c>
      <c r="AX47" s="2" t="e" vm="501">
        <f>_xlfn.IMAGE(_xlfn.CONCAT("https://raw.githubusercontent.com/ItsCryp7iC/Genshin-Image-Hosting/main/Weapons/",WeaponsImg[[#This Row],[Name]],".png"),WeaponsImg[[#This Row],[Name]])</f>
        <v>#VALUE!</v>
      </c>
      <c r="AY47" s="3" t="s">
        <v>501</v>
      </c>
      <c r="BA47" s="2" t="e" vm="502">
        <f>_xlfn.IMAGE(_xlfn.CONCAT("https://raw.githubusercontent.com/ItsCryp7iC/Genshin-Image-Hosting/main/WeaponMaterials/",WeaponMaterialsImg[[#This Row],[Name]],".png"),WeaponMaterialsImg[[#This Row],[Name]])</f>
        <v>#VALUE!</v>
      </c>
      <c r="BB47" s="3" t="s">
        <v>502</v>
      </c>
    </row>
    <row r="48" spans="4:54" ht="30" customHeight="1" x14ac:dyDescent="0.25">
      <c r="D48" s="5" t="e" vm="503">
        <f>_xlfn.IMAGE(_xlfn.CONCAT("https://raw.githubusercontent.com/ItsCryp7iC/Genshin-Image-Hosting/main/Characters/",CharacterDetailsImg[[#This Row],[Name]],".png"),CharacterDetailsImg[[#This Row],[Name]])</f>
        <v>#VALUE!</v>
      </c>
      <c r="E48" s="2" t="s">
        <v>503</v>
      </c>
      <c r="F48" s="2" t="e" vm="487">
        <f>$AR$4</f>
        <v>#VALUE!</v>
      </c>
      <c r="G48" s="2" t="e" vm="50">
        <f>$AU$8</f>
        <v>#VALUE!</v>
      </c>
      <c r="H48" s="18">
        <v>3.5</v>
      </c>
      <c r="I48" s="4" t="e" vm="402">
        <f>$P$22</f>
        <v>#VALUE!</v>
      </c>
      <c r="J48" s="4" t="e" vm="403">
        <f>$T$21</f>
        <v>#VALUE!</v>
      </c>
      <c r="K48" s="2" t="e" vm="270">
        <f>$AF$38</f>
        <v>#VALUE!</v>
      </c>
      <c r="L48" s="4" t="e" vm="32">
        <f>$Z$13</f>
        <v>#VALUE!</v>
      </c>
      <c r="M48" s="2" t="e" vm="33">
        <f>$AI$32</f>
        <v>#VALUE!</v>
      </c>
      <c r="N48" s="6" t="e" vm="56">
        <f>IF(OR(
E48="TravelerAnemo",
E48="TravelerGeo",
E48="TravelerElectro",
E48="TravelerDendro",
E48="TravelerHydro",
E48="TravelerPyro",
E48="TravelerCryo"),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AX48" s="2" t="e" vm="504">
        <f>_xlfn.IMAGE(_xlfn.CONCAT("https://raw.githubusercontent.com/ItsCryp7iC/Genshin-Image-Hosting/main/Weapons/",WeaponsImg[[#This Row],[Name]],".png"),WeaponsImg[[#This Row],[Name]])</f>
        <v>#VALUE!</v>
      </c>
      <c r="AY48" s="3" t="s">
        <v>504</v>
      </c>
      <c r="BA48" s="2" t="e" vm="505">
        <f>_xlfn.IMAGE(_xlfn.CONCAT("https://raw.githubusercontent.com/ItsCryp7iC/Genshin-Image-Hosting/main/WeaponMaterials/",WeaponMaterialsImg[[#This Row],[Name]],".png"),WeaponMaterialsImg[[#This Row],[Name]])</f>
        <v>#VALUE!</v>
      </c>
      <c r="BB48" s="3" t="s">
        <v>505</v>
      </c>
    </row>
    <row r="49" spans="4:54" ht="30" customHeight="1" x14ac:dyDescent="0.25">
      <c r="D49" s="5" t="e" vm="506">
        <f>_xlfn.IMAGE(_xlfn.CONCAT("https://raw.githubusercontent.com/ItsCryp7iC/Genshin-Image-Hosting/main/Characters/",CharacterDetailsImg[[#This Row],[Name]],".png"),CharacterDetailsImg[[#This Row],[Name]])</f>
        <v>#VALUE!</v>
      </c>
      <c r="E49" s="2" t="s">
        <v>506</v>
      </c>
      <c r="F49" s="2" t="e" vm="487">
        <f>$AR$4</f>
        <v>#VALUE!</v>
      </c>
      <c r="G49" s="2" t="e" vm="50">
        <f>$AU$8</f>
        <v>#VALUE!</v>
      </c>
      <c r="H49" s="18">
        <v>1</v>
      </c>
      <c r="I49" s="4" t="e" vm="51">
        <f>$P$8</f>
        <v>#VALUE!</v>
      </c>
      <c r="J49" s="2" t="e" vm="52">
        <f>$T$3</f>
        <v>#VALUE!</v>
      </c>
      <c r="K49" s="2" t="e" vm="53">
        <f>$AF$8</f>
        <v>#VALUE!</v>
      </c>
      <c r="L49" s="4" t="e" vm="442">
        <f>$Z$8</f>
        <v>#VALUE!</v>
      </c>
      <c r="M49" s="4" t="e" vm="374">
        <f>$AI$37</f>
        <v>#VALUE!</v>
      </c>
      <c r="N49" s="6" t="e" vm="56">
        <f>IF(OR(
E49="TravelerAnemo",
E49="TravelerGeo",
E49="TravelerElectro",
E49="TravelerDendro",
E49="TravelerHydro",
E49="TravelerPyro",
E49="TravelerCryo"),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AX49" s="2" t="e" vm="507">
        <f>_xlfn.IMAGE(_xlfn.CONCAT("https://raw.githubusercontent.com/ItsCryp7iC/Genshin-Image-Hosting/main/Weapons/",WeaponsImg[[#This Row],[Name]],".png"),WeaponsImg[[#This Row],[Name]])</f>
        <v>#VALUE!</v>
      </c>
      <c r="AY49" s="3" t="s">
        <v>507</v>
      </c>
      <c r="BA49" s="2" t="e" vm="508">
        <f>_xlfn.IMAGE(_xlfn.CONCAT("https://raw.githubusercontent.com/ItsCryp7iC/Genshin-Image-Hosting/main/WeaponMaterials/",WeaponMaterialsImg[[#This Row],[Name]],".png"),WeaponMaterialsImg[[#This Row],[Name]])</f>
        <v>#VALUE!</v>
      </c>
      <c r="BB49" s="3" t="s">
        <v>508</v>
      </c>
    </row>
    <row r="50" spans="4:54" ht="30" customHeight="1" x14ac:dyDescent="0.25">
      <c r="D50" s="5" t="e" vm="509">
        <f>_xlfn.IMAGE(_xlfn.CONCAT("https://raw.githubusercontent.com/ItsCryp7iC/Genshin-Image-Hosting/main/Characters/",CharacterDetailsImg[[#This Row],[Name]],".png"),CharacterDetailsImg[[#This Row],[Name]])</f>
        <v>#VALUE!</v>
      </c>
      <c r="E50" s="2" t="s">
        <v>509</v>
      </c>
      <c r="F50" s="2" t="e" vm="487">
        <f>$AR$4</f>
        <v>#VALUE!</v>
      </c>
      <c r="G50" s="2" t="e" vm="91">
        <f>$AU$5</f>
        <v>#VALUE!</v>
      </c>
      <c r="H50" s="18">
        <v>3</v>
      </c>
      <c r="I50" s="2" t="e" vm="510">
        <f>$P$19</f>
        <v>#VALUE!</v>
      </c>
      <c r="J50" s="2" t="e" vm="181">
        <f>$T$14</f>
        <v>#VALUE!</v>
      </c>
      <c r="K50" s="2" t="e" vm="31">
        <f>$AF$32</f>
        <v>#VALUE!</v>
      </c>
      <c r="L50" s="2" t="e" vm="32">
        <f>$Z$13</f>
        <v>#VALUE!</v>
      </c>
      <c r="M50" s="2" t="e" vm="511">
        <f>$AI$16</f>
        <v>#VALUE!</v>
      </c>
      <c r="N50" s="6" t="e" vm="97">
        <f>IF(OR(
E50="TravelerAnemo",
E50="TravelerGeo",
E50="TravelerElectro",
E50="TravelerDendro",
E50="TravelerHydro",
E50="TravelerPyro",
E50="TravelerCryo"),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AX50" s="2" t="e" vm="512">
        <f>_xlfn.IMAGE(_xlfn.CONCAT("https://raw.githubusercontent.com/ItsCryp7iC/Genshin-Image-Hosting/main/Weapons/",WeaponsImg[[#This Row],[Name]],".png"),WeaponsImg[[#This Row],[Name]])</f>
        <v>#VALUE!</v>
      </c>
      <c r="AY50" s="3" t="s">
        <v>510</v>
      </c>
      <c r="BA50" s="2" t="e" vm="513">
        <f>_xlfn.IMAGE(_xlfn.CONCAT("https://raw.githubusercontent.com/ItsCryp7iC/Genshin-Image-Hosting/main/WeaponMaterials/",WeaponMaterialsImg[[#This Row],[Name]],".png"),WeaponMaterialsImg[[#This Row],[Name]])</f>
        <v>#VALUE!</v>
      </c>
      <c r="BB50" s="3" t="s">
        <v>511</v>
      </c>
    </row>
    <row r="51" spans="4:54" ht="30" customHeight="1" x14ac:dyDescent="0.25">
      <c r="D51" s="5" t="e" vm="514">
        <f>_xlfn.IMAGE(_xlfn.CONCAT("https://raw.githubusercontent.com/ItsCryp7iC/Genshin-Image-Hosting/main/Characters/",CharacterDetailsImg[[#This Row],[Name]],".png"),CharacterDetailsImg[[#This Row],[Name]])</f>
        <v>#VALUE!</v>
      </c>
      <c r="E51" s="2" t="s">
        <v>512</v>
      </c>
      <c r="F51" s="2" t="e" vm="487">
        <f>$AR$4</f>
        <v>#VALUE!</v>
      </c>
      <c r="G51" s="2" t="e" vm="164">
        <f>$AU$9</f>
        <v>#VALUE!</v>
      </c>
      <c r="H51" s="18">
        <v>1.5</v>
      </c>
      <c r="I51" s="2" t="e" vm="360">
        <f>$P$10</f>
        <v>#VALUE!</v>
      </c>
      <c r="J51" s="2" t="e" vm="481">
        <f>$T$12</f>
        <v>#VALUE!</v>
      </c>
      <c r="K51" s="2" t="e" vm="53">
        <f>$AF$8</f>
        <v>#VALUE!</v>
      </c>
      <c r="L51" s="4" t="e" vm="133">
        <f>$Z$3</f>
        <v>#VALUE!</v>
      </c>
      <c r="M51" s="2" t="e" vm="134">
        <f>$AI$10</f>
        <v>#VALUE!</v>
      </c>
      <c r="N51" s="6" t="e" vm="168">
        <f>IF(OR(
E51="TravelerAnemo",
E51="TravelerGeo",
E51="TravelerElectro",
E51="TravelerDendro",
E51="TravelerHydro",
E51="TravelerPyro",
E51="TravelerCryo"),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AX51" s="2" t="e" vm="515">
        <f>_xlfn.IMAGE(_xlfn.CONCAT("https://raw.githubusercontent.com/ItsCryp7iC/Genshin-Image-Hosting/main/Weapons/",WeaponsImg[[#This Row],[Name]],".png"),WeaponsImg[[#This Row],[Name]])</f>
        <v>#VALUE!</v>
      </c>
      <c r="AY51" s="3" t="s">
        <v>513</v>
      </c>
      <c r="BA51" s="2" t="e" vm="516">
        <f>_xlfn.IMAGE(_xlfn.CONCAT("https://raw.githubusercontent.com/ItsCryp7iC/Genshin-Image-Hosting/main/WeaponMaterials/",WeaponMaterialsImg[[#This Row],[Name]],".png"),WeaponMaterialsImg[[#This Row],[Name]])</f>
        <v>#VALUE!</v>
      </c>
      <c r="BB51" s="3" t="s">
        <v>514</v>
      </c>
    </row>
    <row r="52" spans="4:54" ht="30" customHeight="1" x14ac:dyDescent="0.25">
      <c r="D52" s="5" t="e" vm="517">
        <f>_xlfn.IMAGE(_xlfn.CONCAT("https://raw.githubusercontent.com/ItsCryp7iC/Genshin-Image-Hosting/main/Characters/",CharacterDetailsImg[[#This Row],[Name]],".png"),CharacterDetailsImg[[#This Row],[Name]])</f>
        <v>#VALUE!</v>
      </c>
      <c r="E52" s="2" t="s">
        <v>515</v>
      </c>
      <c r="F52" s="2" t="e" vm="487">
        <f>$AR$4</f>
        <v>#VALUE!</v>
      </c>
      <c r="G52" s="2" t="e" vm="164">
        <f>$AU$9</f>
        <v>#VALUE!</v>
      </c>
      <c r="H52" s="18">
        <v>4</v>
      </c>
      <c r="I52" s="2" t="e" vm="518">
        <f>$P$27</f>
        <v>#VALUE!</v>
      </c>
      <c r="J52" s="2" t="e" vm="519">
        <f>$T$26</f>
        <v>#VALUE!</v>
      </c>
      <c r="K52" s="2" t="e" vm="94">
        <f>$AF$41</f>
        <v>#VALUE!</v>
      </c>
      <c r="L52" s="2" t="e" vm="95">
        <f>$Z$14</f>
        <v>#VALUE!</v>
      </c>
      <c r="M52" s="2" t="e" vm="520">
        <f>$AI$29</f>
        <v>#VALUE!</v>
      </c>
      <c r="N52" s="6" t="e" vm="168">
        <f>IF(OR(
E52="TravelerAnemo",
E52="TravelerGeo",
E52="TravelerElectro",
E52="TravelerDendro",
E52="TravelerHydro",
E52="TravelerPyro",
E52="TravelerCryo"),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AX52" s="2" t="e" vm="521">
        <f>_xlfn.IMAGE(_xlfn.CONCAT("https://raw.githubusercontent.com/ItsCryp7iC/Genshin-Image-Hosting/main/Weapons/",WeaponsImg[[#This Row],[Name]],".png"),WeaponsImg[[#This Row],[Name]])</f>
        <v>#VALUE!</v>
      </c>
      <c r="AY52" s="3" t="s">
        <v>516</v>
      </c>
      <c r="BA52" s="2" t="e" vm="522">
        <f>_xlfn.IMAGE(_xlfn.CONCAT("https://raw.githubusercontent.com/ItsCryp7iC/Genshin-Image-Hosting/main/WeaponMaterials/",WeaponMaterialsImg[[#This Row],[Name]],".png"),WeaponMaterialsImg[[#This Row],[Name]])</f>
        <v>#VALUE!</v>
      </c>
      <c r="BB52" s="3" t="s">
        <v>517</v>
      </c>
    </row>
    <row r="53" spans="4:54" ht="30" customHeight="1" x14ac:dyDescent="0.25">
      <c r="D53" s="5" t="e" vm="523">
        <f>_xlfn.IMAGE(_xlfn.CONCAT("https://raw.githubusercontent.com/ItsCryp7iC/Genshin-Image-Hosting/main/Characters/",CharacterDetailsImg[[#This Row],[Name]],".png"),CharacterDetailsImg[[#This Row],[Name]])</f>
        <v>#VALUE!</v>
      </c>
      <c r="E53" s="2" t="s">
        <v>518</v>
      </c>
      <c r="F53" s="2" t="e" vm="487">
        <f>$AR$4</f>
        <v>#VALUE!</v>
      </c>
      <c r="G53" s="2" t="e" vm="50">
        <f>$AU$8</f>
        <v>#VALUE!</v>
      </c>
      <c r="H53" s="18">
        <v>4.4000000000000004</v>
      </c>
      <c r="I53" s="2" t="e" vm="439">
        <f>$P$28</f>
        <v>#VALUE!</v>
      </c>
      <c r="J53" s="2" t="e" vm="114">
        <f>$T$29</f>
        <v>#VALUE!</v>
      </c>
      <c r="K53" s="2" t="e" vm="211">
        <f>$AF$17</f>
        <v>#VALUE!</v>
      </c>
      <c r="L53" s="2" t="e" vm="469">
        <f>$Z$6</f>
        <v>#VALUE!</v>
      </c>
      <c r="M53" s="2" t="e" vm="457">
        <f>$AI$39</f>
        <v>#VALUE!</v>
      </c>
      <c r="N53" s="6" t="e" vm="56">
        <f>IF(OR(
E53="TravelerAnemo",
E53="TravelerGeo",
E53="TravelerElectro",
E53="TravelerDendro",
E53="TravelerHydro",
E53="TravelerPyro",
E53="TravelerCryo"),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AX53" s="2" t="e" vm="524">
        <f>_xlfn.IMAGE(_xlfn.CONCAT("https://raw.githubusercontent.com/ItsCryp7iC/Genshin-Image-Hosting/main/Weapons/",WeaponsImg[[#This Row],[Name]],".png"),WeaponsImg[[#This Row],[Name]])</f>
        <v>#VALUE!</v>
      </c>
      <c r="AY53" s="3" t="s">
        <v>519</v>
      </c>
      <c r="BA53" s="2" t="e" vm="525">
        <f>_xlfn.IMAGE(_xlfn.CONCAT("https://raw.githubusercontent.com/ItsCryp7iC/Genshin-Image-Hosting/main/WeaponMaterials/",WeaponMaterialsImg[[#This Row],[Name]],".png"),WeaponMaterialsImg[[#This Row],[Name]])</f>
        <v>#VALUE!</v>
      </c>
      <c r="BB53" s="3" t="s">
        <v>520</v>
      </c>
    </row>
    <row r="54" spans="4:54" ht="30" customHeight="1" x14ac:dyDescent="0.25">
      <c r="D54" s="5" t="e" vm="526">
        <f>_xlfn.IMAGE(_xlfn.CONCAT("https://raw.githubusercontent.com/ItsCryp7iC/Genshin-Image-Hosting/main/Characters/",CharacterDetailsImg[[#This Row],[Name]],".png"),CharacterDetailsImg[[#This Row],[Name]])</f>
        <v>#VALUE!</v>
      </c>
      <c r="E54" s="2" t="s">
        <v>521</v>
      </c>
      <c r="F54" s="2" t="e" vm="487">
        <f>$AR$4</f>
        <v>#VALUE!</v>
      </c>
      <c r="G54" s="2" t="e" vm="28">
        <f>$AU$6</f>
        <v>#VALUE!</v>
      </c>
      <c r="H54" s="18">
        <v>1.6</v>
      </c>
      <c r="I54" s="2" t="e" vm="527">
        <f>$P$23</f>
        <v>#VALUE!</v>
      </c>
      <c r="J54" s="2" t="e" vm="440">
        <f>$T$24</f>
        <v>#VALUE!</v>
      </c>
      <c r="K54" s="2" t="e" vm="31">
        <f>$AF$32</f>
        <v>#VALUE!</v>
      </c>
      <c r="L54" s="2" t="e" vm="271">
        <f>$Z$12</f>
        <v>#VALUE!</v>
      </c>
      <c r="M54" s="2" t="e" vm="528">
        <f>$AI$20</f>
        <v>#VALUE!</v>
      </c>
      <c r="N54" s="6" t="e" vm="34">
        <f>IF(OR(
E54="TravelerAnemo",
E54="TravelerGeo",
E54="TravelerElectro",
E54="TravelerDendro",
E54="TravelerHydro",
E54="TravelerPyro",
E54="TravelerCryo"),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AX54" s="2" t="e" vm="529">
        <f>_xlfn.IMAGE(_xlfn.CONCAT("https://raw.githubusercontent.com/ItsCryp7iC/Genshin-Image-Hosting/main/Weapons/",WeaponsImg[[#This Row],[Name]],".png"),WeaponsImg[[#This Row],[Name]])</f>
        <v>#VALUE!</v>
      </c>
      <c r="AY54" s="3" t="s">
        <v>522</v>
      </c>
      <c r="BA54" s="2" t="e" vm="530">
        <f>_xlfn.IMAGE(_xlfn.CONCAT("https://raw.githubusercontent.com/ItsCryp7iC/Genshin-Image-Hosting/main/WeaponMaterials/",WeaponMaterialsImg[[#This Row],[Name]],".png"),WeaponMaterialsImg[[#This Row],[Name]])</f>
        <v>#VALUE!</v>
      </c>
      <c r="BB54" s="3" t="s">
        <v>523</v>
      </c>
    </row>
    <row r="55" spans="4:54" ht="30" customHeight="1" x14ac:dyDescent="0.25">
      <c r="D55" s="5" t="e" vm="531">
        <f>_xlfn.IMAGE(_xlfn.CONCAT("https://raw.githubusercontent.com/ItsCryp7iC/Genshin-Image-Hosting/main/Characters/",CharacterDetailsImg[[#This Row],[Name]],".png"),CharacterDetailsImg[[#This Row],[Name]])</f>
        <v>#VALUE!</v>
      </c>
      <c r="E55" s="2" t="s">
        <v>524</v>
      </c>
      <c r="F55" s="2" t="e" vm="487">
        <f>$AR$4</f>
        <v>#VALUE!</v>
      </c>
      <c r="G55" s="2" t="e" vm="6">
        <f>$AU$4</f>
        <v>#VALUE!</v>
      </c>
      <c r="H55" s="18">
        <v>4.3</v>
      </c>
      <c r="I55" s="2" t="e" vm="518">
        <f>$P$27</f>
        <v>#VALUE!</v>
      </c>
      <c r="J55" s="2" t="e" vm="73">
        <f>$T$27</f>
        <v>#VALUE!</v>
      </c>
      <c r="K55" s="2" t="e" vm="441">
        <f>$AF$47</f>
        <v>#VALUE!</v>
      </c>
      <c r="L55" s="2" t="e" vm="95">
        <f>$Z$14</f>
        <v>#VALUE!</v>
      </c>
      <c r="M55" s="2" t="e" vm="532">
        <f>$AI$38</f>
        <v>#VALUE!</v>
      </c>
      <c r="N55" s="6" t="e" vm="12">
        <f>IF(OR(
E55="TravelerAnemo",
E55="TravelerGeo",
E55="TravelerElectro",
E55="TravelerDendro",
E55="TravelerHydro",
E55="TravelerPyro",
E55="TravelerCryo"),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AX55" s="2" t="e" vm="533">
        <f>_xlfn.IMAGE(_xlfn.CONCAT("https://raw.githubusercontent.com/ItsCryp7iC/Genshin-Image-Hosting/main/Weapons/",WeaponsImg[[#This Row],[Name]],".png"),WeaponsImg[[#This Row],[Name]])</f>
        <v>#VALUE!</v>
      </c>
      <c r="AY55" s="3" t="s">
        <v>525</v>
      </c>
      <c r="BA55" s="2" t="e" vm="534">
        <f>_xlfn.IMAGE(_xlfn.CONCAT("https://raw.githubusercontent.com/ItsCryp7iC/Genshin-Image-Hosting/main/WeaponMaterials/",WeaponMaterialsImg[[#This Row],[Name]],".png"),WeaponMaterialsImg[[#This Row],[Name]])</f>
        <v>#VALUE!</v>
      </c>
      <c r="BB55" s="3" t="s">
        <v>526</v>
      </c>
    </row>
    <row r="56" spans="4:54" ht="30" customHeight="1" x14ac:dyDescent="0.25">
      <c r="D56" s="5" t="e" vm="535">
        <f>_xlfn.IMAGE(_xlfn.CONCAT("https://raw.githubusercontent.com/ItsCryp7iC/Genshin-Image-Hosting/main/Characters/",CharacterDetailsImg[[#This Row],[Name]],".png"),CharacterDetailsImg[[#This Row],[Name]])</f>
        <v>#VALUE!</v>
      </c>
      <c r="E56" s="2" t="s">
        <v>527</v>
      </c>
      <c r="F56" s="2" t="e" vm="487">
        <f>$AR$4</f>
        <v>#VALUE!</v>
      </c>
      <c r="G56" s="2" t="e" vm="6">
        <f>$AU$4</f>
        <v>#VALUE!</v>
      </c>
      <c r="H56" s="18">
        <v>1</v>
      </c>
      <c r="I56" s="2" t="e" vm="7">
        <f>$P$6</f>
        <v>#VALUE!</v>
      </c>
      <c r="J56" s="2" t="e" vm="536">
        <f>$T$4</f>
        <v>#VALUE!</v>
      </c>
      <c r="K56" s="2" t="e" vm="53">
        <f>$AF$8</f>
        <v>#VALUE!</v>
      </c>
      <c r="L56" s="4" t="e" vm="133">
        <f>$Z$3</f>
        <v>#VALUE!</v>
      </c>
      <c r="M56" s="2" t="e" vm="537">
        <f>$AI$42</f>
        <v>#VALUE!</v>
      </c>
      <c r="N56" s="6" t="e" vm="12">
        <f>IF(OR(
E56="TravelerAnemo",
E56="TravelerGeo",
E56="TravelerElectro",
E56="TravelerDendro",
E56="TravelerHydro",
E56="TravelerPyro",
E56="TravelerCryo"),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AX56" s="2" t="e" vm="538">
        <f>_xlfn.IMAGE(_xlfn.CONCAT("https://raw.githubusercontent.com/ItsCryp7iC/Genshin-Image-Hosting/main/Weapons/",WeaponsImg[[#This Row],[Name]],".png"),WeaponsImg[[#This Row],[Name]])</f>
        <v>#VALUE!</v>
      </c>
      <c r="AY56" s="3" t="s">
        <v>528</v>
      </c>
      <c r="BA56" s="2" t="e" vm="539">
        <f>_xlfn.IMAGE(_xlfn.CONCAT("https://raw.githubusercontent.com/ItsCryp7iC/Genshin-Image-Hosting/main/WeaponMaterials/",WeaponMaterialsImg[[#This Row],[Name]],".png"),WeaponMaterialsImg[[#This Row],[Name]])</f>
        <v>#VALUE!</v>
      </c>
      <c r="BB56" s="3" t="s">
        <v>529</v>
      </c>
    </row>
    <row r="57" spans="4:54" ht="30" customHeight="1" x14ac:dyDescent="0.25">
      <c r="D57" s="5" t="e" vm="540">
        <f>_xlfn.IMAGE(_xlfn.CONCAT("https://raw.githubusercontent.com/ItsCryp7iC/Genshin-Image-Hosting/main/Characters/",CharacterDetailsImg[[#This Row],[Name]],".png"),CharacterDetailsImg[[#This Row],[Name]])</f>
        <v>#VALUE!</v>
      </c>
      <c r="E57" s="2" t="s">
        <v>530</v>
      </c>
      <c r="F57" s="2" t="e" vm="487">
        <f>$AR$4</f>
        <v>#VALUE!</v>
      </c>
      <c r="G57" s="2" t="e" vm="91">
        <f>$AU$5</f>
        <v>#VALUE!</v>
      </c>
      <c r="H57" s="18">
        <v>1</v>
      </c>
      <c r="I57" s="2" t="e" vm="209">
        <f>$P$5</f>
        <v>#VALUE!</v>
      </c>
      <c r="J57" s="2" t="e" vm="536">
        <f>$T$4</f>
        <v>#VALUE!</v>
      </c>
      <c r="K57" s="2" t="e" vm="53">
        <f>$AF$8</f>
        <v>#VALUE!</v>
      </c>
      <c r="L57" s="4" t="e" vm="133">
        <f>$Z$3</f>
        <v>#VALUE!</v>
      </c>
      <c r="M57" s="2" t="e" vm="541">
        <f>$AI$45</f>
        <v>#VALUE!</v>
      </c>
      <c r="N57" s="6" t="e" vm="97">
        <f>IF(OR(
E57="TravelerAnemo",
E57="TravelerGeo",
E57="TravelerElectro",
E57="TravelerDendro",
E57="TravelerHydro",
E57="TravelerPyro",
E57="TravelerCryo"),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AX57" s="2" t="e" vm="542">
        <f>_xlfn.IMAGE(_xlfn.CONCAT("https://raw.githubusercontent.com/ItsCryp7iC/Genshin-Image-Hosting/main/Weapons/",WeaponsImg[[#This Row],[Name]],".png"),WeaponsImg[[#This Row],[Name]])</f>
        <v>#VALUE!</v>
      </c>
      <c r="AY57" s="3" t="s">
        <v>531</v>
      </c>
      <c r="BA57" s="2" t="e" vm="543">
        <f>_xlfn.IMAGE(_xlfn.CONCAT("https://raw.githubusercontent.com/ItsCryp7iC/Genshin-Image-Hosting/main/WeaponMaterials/",WeaponMaterialsImg[[#This Row],[Name]],".png"),WeaponMaterialsImg[[#This Row],[Name]])</f>
        <v>#VALUE!</v>
      </c>
      <c r="BB57" s="3" t="s">
        <v>532</v>
      </c>
    </row>
    <row r="58" spans="4:54" ht="30" customHeight="1" x14ac:dyDescent="0.25">
      <c r="D58" s="5" t="e" vm="544">
        <f>_xlfn.IMAGE(_xlfn.CONCAT("https://raw.githubusercontent.com/ItsCryp7iC/Genshin-Image-Hosting/main/Characters/",CharacterDetailsImg[[#This Row],[Name]],".png"),CharacterDetailsImg[[#This Row],[Name]])</f>
        <v>#VALUE!</v>
      </c>
      <c r="E58" s="2" t="s">
        <v>533</v>
      </c>
      <c r="F58" s="2" t="e" vm="487">
        <f>$AR$4</f>
        <v>#VALUE!</v>
      </c>
      <c r="G58" s="2" t="e" vm="131">
        <f>$AU$3</f>
        <v>#VALUE!</v>
      </c>
      <c r="H58" s="18">
        <v>2</v>
      </c>
      <c r="I58" s="2" t="e" vm="149">
        <f>$P$11</f>
        <v>#VALUE!</v>
      </c>
      <c r="J58" s="2" t="e" vm="150">
        <f>$T$13</f>
        <v>#VALUE!</v>
      </c>
      <c r="K58" s="2" t="e" vm="74">
        <f>$AF$26</f>
        <v>#VALUE!</v>
      </c>
      <c r="L58" s="2" t="e" vm="115">
        <f>$Z$9</f>
        <v>#VALUE!</v>
      </c>
      <c r="M58" s="2" t="e" vm="363">
        <f>$AI$9</f>
        <v>#VALUE!</v>
      </c>
      <c r="N58" s="6" t="e" vm="135">
        <f>IF(OR(
E58="TravelerAnemo",
E58="TravelerGeo",
E58="TravelerElectro",
E58="TravelerDendro",
E58="TravelerHydro",
E58="TravelerPyro",
E58="TravelerCryo"),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AX58" s="2" t="e" vm="545">
        <f>_xlfn.IMAGE(_xlfn.CONCAT("https://raw.githubusercontent.com/ItsCryp7iC/Genshin-Image-Hosting/main/Weapons/",WeaponsImg[[#This Row],[Name]],".png"),WeaponsImg[[#This Row],[Name]])</f>
        <v>#VALUE!</v>
      </c>
      <c r="AY58" s="3" t="s">
        <v>534</v>
      </c>
      <c r="BA58" s="2" t="e" vm="546">
        <f>_xlfn.IMAGE(_xlfn.CONCAT("https://raw.githubusercontent.com/ItsCryp7iC/Genshin-Image-Hosting/main/WeaponMaterials/",WeaponMaterialsImg[[#This Row],[Name]],".png"),WeaponMaterialsImg[[#This Row],[Name]])</f>
        <v>#VALUE!</v>
      </c>
      <c r="BB58" s="3" t="s">
        <v>535</v>
      </c>
    </row>
    <row r="59" spans="4:54" ht="30" customHeight="1" x14ac:dyDescent="0.25">
      <c r="D59" s="5" t="e" vm="547">
        <f>_xlfn.IMAGE(_xlfn.CONCAT("https://raw.githubusercontent.com/ItsCryp7iC/Genshin-Image-Hosting/main/Characters/",CharacterDetailsImg[[#This Row],[Name]],".png"),CharacterDetailsImg[[#This Row],[Name]])</f>
        <v>#VALUE!</v>
      </c>
      <c r="E59" s="2" t="s">
        <v>536</v>
      </c>
      <c r="F59" s="2" t="e" vm="487">
        <f>$AR$4</f>
        <v>#VALUE!</v>
      </c>
      <c r="G59" s="2" t="e" vm="50">
        <f>$AU$8</f>
        <v>#VALUE!</v>
      </c>
      <c r="H59" s="18">
        <v>1.1000000000000001</v>
      </c>
      <c r="I59" s="4" t="e" vm="51">
        <f>$P$8</f>
        <v>#VALUE!</v>
      </c>
      <c r="J59" s="2" t="e" vm="8">
        <f>$T$11</f>
        <v>#VALUE!</v>
      </c>
      <c r="K59" s="2" t="e" vm="349">
        <f>$AF$14</f>
        <v>#VALUE!</v>
      </c>
      <c r="L59" s="4" t="e" vm="54">
        <f>$Z$7</f>
        <v>#VALUE!</v>
      </c>
      <c r="M59" s="2" t="e" vm="282">
        <f>$AI$43</f>
        <v>#VALUE!</v>
      </c>
      <c r="N59" s="6" t="e" vm="56">
        <f>IF(OR(
E59="TravelerAnemo",
E59="TravelerGeo",
E59="TravelerElectro",
E59="TravelerDendro",
E59="TravelerHydro",
E59="TravelerPyro",
E59="TravelerCryo"),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AX59" s="2" t="e" vm="548">
        <f>_xlfn.IMAGE(_xlfn.CONCAT("https://raw.githubusercontent.com/ItsCryp7iC/Genshin-Image-Hosting/main/Weapons/",WeaponsImg[[#This Row],[Name]],".png"),WeaponsImg[[#This Row],[Name]])</f>
        <v>#VALUE!</v>
      </c>
      <c r="AY59" s="3" t="s">
        <v>537</v>
      </c>
      <c r="BA59" s="2" t="e" vm="549">
        <f>_xlfn.IMAGE(_xlfn.CONCAT("https://raw.githubusercontent.com/ItsCryp7iC/Genshin-Image-Hosting/main/WeaponMaterials/",WeaponMaterialsImg[[#This Row],[Name]],".png"),WeaponMaterialsImg[[#This Row],[Name]])</f>
        <v>#VALUE!</v>
      </c>
      <c r="BB59" s="3" t="s">
        <v>538</v>
      </c>
    </row>
    <row r="60" spans="4:54" ht="30" customHeight="1" x14ac:dyDescent="0.25">
      <c r="D60" s="5" t="e" vm="550">
        <f>_xlfn.IMAGE(_xlfn.CONCAT("https://raw.githubusercontent.com/ItsCryp7iC/Genshin-Image-Hosting/main/Characters/",CharacterDetailsImg[[#This Row],[Name]],".png"),CharacterDetailsImg[[#This Row],[Name]])</f>
        <v>#VALUE!</v>
      </c>
      <c r="E60" s="2" t="s">
        <v>539</v>
      </c>
      <c r="F60" s="2" t="e" vm="551">
        <f>$AR$5</f>
        <v>#VALUE!</v>
      </c>
      <c r="G60" s="2" t="e" vm="50">
        <f>$AU$8</f>
        <v>#VALUE!</v>
      </c>
      <c r="H60" s="18">
        <v>4.5999999999999996</v>
      </c>
      <c r="I60" s="2" t="e" vm="552">
        <f>$P$33</f>
        <v>#VALUE!</v>
      </c>
      <c r="J60" s="2" t="e" vm="553">
        <f>$T$32</f>
        <v>#VALUE!</v>
      </c>
      <c r="K60" s="2" t="e" vm="259">
        <f>$AF$44</f>
        <v>#VALUE!</v>
      </c>
      <c r="L60" s="4" t="e" vm="442">
        <f>$Z$8</f>
        <v>#VALUE!</v>
      </c>
      <c r="M60" s="2" t="e" vm="443">
        <f>$AI$28</f>
        <v>#VALUE!</v>
      </c>
      <c r="N60" s="6" t="e" vm="56">
        <f>IF(OR(
E60="TravelerAnemo",
E60="TravelerGeo",
E60="TravelerElectro",
E60="TravelerDendro",
E60="TravelerHydro",
E60="TravelerPyro",
E60="TravelerCryo"),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AX60" s="2" t="e" vm="554">
        <f>_xlfn.IMAGE(_xlfn.CONCAT("https://raw.githubusercontent.com/ItsCryp7iC/Genshin-Image-Hosting/main/Weapons/",WeaponsImg[[#This Row],[Name]],".png"),WeaponsImg[[#This Row],[Name]])</f>
        <v>#VALUE!</v>
      </c>
      <c r="AY60" s="3" t="s">
        <v>540</v>
      </c>
      <c r="BA60" s="2" t="e" vm="555">
        <f>_xlfn.IMAGE(_xlfn.CONCAT("https://raw.githubusercontent.com/ItsCryp7iC/Genshin-Image-Hosting/main/WeaponMaterials/",WeaponMaterialsImg[[#This Row],[Name]],".png"),WeaponMaterialsImg[[#This Row],[Name]])</f>
        <v>#VALUE!</v>
      </c>
      <c r="BB60" s="3" t="s">
        <v>541</v>
      </c>
    </row>
    <row r="61" spans="4:54" ht="30" customHeight="1" x14ac:dyDescent="0.25">
      <c r="D61" s="5" t="e" vm="556">
        <f>_xlfn.IMAGE(_xlfn.CONCAT("https://raw.githubusercontent.com/ItsCryp7iC/Genshin-Image-Hosting/main/Characters/",CharacterDetailsImg[[#This Row],[Name]],".png"),CharacterDetailsImg[[#This Row],[Name]])</f>
        <v>#VALUE!</v>
      </c>
      <c r="E61" s="2" t="s">
        <v>542</v>
      </c>
      <c r="F61" s="2" t="e" vm="557">
        <f>$AR$7</f>
        <v>#VALUE!</v>
      </c>
      <c r="G61" s="2" t="e" vm="28">
        <f>$AU$6</f>
        <v>#VALUE!</v>
      </c>
      <c r="H61" s="18">
        <v>3.6</v>
      </c>
      <c r="I61" s="2" t="e" vm="224">
        <f>$P$25</f>
        <v>#VALUE!</v>
      </c>
      <c r="J61" s="2" t="e" vm="519">
        <f>$T$26</f>
        <v>#VALUE!</v>
      </c>
      <c r="K61" s="2" t="e" vm="349">
        <f>$AF$14</f>
        <v>#VALUE!</v>
      </c>
      <c r="L61" s="2" t="e" vm="271">
        <f>$Z$12</f>
        <v>#VALUE!</v>
      </c>
      <c r="M61" s="2" t="e" vm="282">
        <f>$AI$43</f>
        <v>#VALUE!</v>
      </c>
      <c r="N61" s="6" t="e" vm="34">
        <f>IF(OR(
E61="TravelerAnemo",
E61="TravelerGeo",
E61="TravelerElectro",
E61="TravelerDendro",
E61="TravelerHydro",
E61="TravelerPyro",
E61="TravelerCryo"),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AX61" s="2" t="e" vm="558">
        <f>_xlfn.IMAGE(_xlfn.CONCAT("https://raw.githubusercontent.com/ItsCryp7iC/Genshin-Image-Hosting/main/Weapons/",WeaponsImg[[#This Row],[Name]],".png"),WeaponsImg[[#This Row],[Name]])</f>
        <v>#VALUE!</v>
      </c>
      <c r="AY61" s="3" t="s">
        <v>543</v>
      </c>
      <c r="BA61" s="2" t="e" vm="559">
        <f>_xlfn.IMAGE(_xlfn.CONCAT("https://raw.githubusercontent.com/ItsCryp7iC/Genshin-Image-Hosting/main/WeaponMaterials/",WeaponMaterialsImg[[#This Row],[Name]],".png"),WeaponMaterialsImg[[#This Row],[Name]])</f>
        <v>#VALUE!</v>
      </c>
      <c r="BB61" s="3" t="s">
        <v>544</v>
      </c>
    </row>
    <row r="62" spans="4:54" ht="30" customHeight="1" x14ac:dyDescent="0.25">
      <c r="D62" s="5" t="e" vm="560">
        <f>_xlfn.IMAGE(_xlfn.CONCAT("https://raw.githubusercontent.com/ItsCryp7iC/Genshin-Image-Hosting/main/Characters/",CharacterDetailsImg[[#This Row],[Name]],".png"),CharacterDetailsImg[[#This Row],[Name]])</f>
        <v>#VALUE!</v>
      </c>
      <c r="E62" s="2" t="s">
        <v>545</v>
      </c>
      <c r="F62" s="2" t="e" vm="557">
        <f>$AR$7</f>
        <v>#VALUE!</v>
      </c>
      <c r="G62" s="2" t="e" vm="112">
        <f>$AU$7</f>
        <v>#VALUE!</v>
      </c>
      <c r="H62" s="18">
        <v>1</v>
      </c>
      <c r="I62" s="2" t="e" vm="348">
        <f>$P$7</f>
        <v>#VALUE!</v>
      </c>
      <c r="J62" s="2" t="e" vm="210">
        <f>$T$8</f>
        <v>#VALUE!</v>
      </c>
      <c r="K62" s="2" t="e" vm="362">
        <f>$AF$11</f>
        <v>#VALUE!</v>
      </c>
      <c r="L62" s="2" t="e" vm="10">
        <f>$Z$5</f>
        <v>#VALUE!</v>
      </c>
      <c r="M62" s="2" t="e" vm="561">
        <f>$AI$26</f>
        <v>#VALUE!</v>
      </c>
      <c r="N62" s="6" t="e" vm="117">
        <f>IF(OR(
E62="TravelerAnemo",
E62="TravelerGeo",
E62="TravelerElectro",
E62="TravelerDendro",
E62="TravelerHydro",
E62="TravelerPyro",
E62="TravelerCryo"),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AX62" s="2" t="e" vm="562">
        <f>_xlfn.IMAGE(_xlfn.CONCAT("https://raw.githubusercontent.com/ItsCryp7iC/Genshin-Image-Hosting/main/Weapons/",WeaponsImg[[#This Row],[Name]],".png"),WeaponsImg[[#This Row],[Name]])</f>
        <v>#VALUE!</v>
      </c>
      <c r="AY62" s="3" t="s">
        <v>546</v>
      </c>
      <c r="BA62" s="2" t="e" vm="563">
        <f>_xlfn.IMAGE(_xlfn.CONCAT("https://raw.githubusercontent.com/ItsCryp7iC/Genshin-Image-Hosting/main/WeaponMaterials/",WeaponMaterialsImg[[#This Row],[Name]],".png"),WeaponMaterialsImg[[#This Row],[Name]])</f>
        <v>#VALUE!</v>
      </c>
      <c r="BB62" s="3" t="s">
        <v>547</v>
      </c>
    </row>
    <row r="63" spans="4:54" ht="30" customHeight="1" x14ac:dyDescent="0.25">
      <c r="D63" s="5" t="e" vm="564">
        <f>_xlfn.IMAGE(_xlfn.CONCAT("https://raw.githubusercontent.com/ItsCryp7iC/Genshin-Image-Hosting/main/Characters/",CharacterDetailsImg[[#This Row],[Name]],".png"),CharacterDetailsImg[[#This Row],[Name]])</f>
        <v>#VALUE!</v>
      </c>
      <c r="E63" s="2" t="s">
        <v>548</v>
      </c>
      <c r="F63" s="2" t="e" vm="557">
        <f>$AR$7</f>
        <v>#VALUE!</v>
      </c>
      <c r="G63" s="2" t="e" vm="164">
        <f>$AU$9</f>
        <v>#VALUE!</v>
      </c>
      <c r="H63" s="18">
        <v>4.2</v>
      </c>
      <c r="I63" s="2" t="e" vm="565">
        <f>$P$29</f>
        <v>#VALUE!</v>
      </c>
      <c r="J63" s="2" t="e" vm="73">
        <f>$T$27</f>
        <v>#VALUE!</v>
      </c>
      <c r="K63" s="2" t="e" vm="94">
        <f>$AF$41</f>
        <v>#VALUE!</v>
      </c>
      <c r="L63" s="2" t="e" vm="260">
        <f>$Z$15</f>
        <v>#VALUE!</v>
      </c>
      <c r="M63" s="2" t="e" vm="566">
        <f>$AI$4</f>
        <v>#VALUE!</v>
      </c>
      <c r="N63" s="6" t="e" vm="168">
        <f>IF(OR(
E63="TravelerAnemo",
E63="TravelerGeo",
E63="TravelerElectro",
E63="TravelerDendro",
E63="TravelerHydro",
E63="TravelerPyro",
E63="TravelerCryo"),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AX63" s="2" t="e" vm="567">
        <f>_xlfn.IMAGE(_xlfn.CONCAT("https://raw.githubusercontent.com/ItsCryp7iC/Genshin-Image-Hosting/main/Weapons/",WeaponsImg[[#This Row],[Name]],".png"),WeaponsImg[[#This Row],[Name]])</f>
        <v>#VALUE!</v>
      </c>
      <c r="AY63" s="3" t="s">
        <v>549</v>
      </c>
    </row>
    <row r="64" spans="4:54" ht="30" customHeight="1" x14ac:dyDescent="0.25">
      <c r="D64" s="5" t="e" vm="568">
        <f>_xlfn.IMAGE(_xlfn.CONCAT("https://raw.githubusercontent.com/ItsCryp7iC/Genshin-Image-Hosting/main/Characters/",CharacterDetailsImg[[#This Row],[Name]],".png"),CharacterDetailsImg[[#This Row],[Name]])</f>
        <v>#VALUE!</v>
      </c>
      <c r="E64" s="2" t="s">
        <v>550</v>
      </c>
      <c r="F64" s="2" t="e" vm="557">
        <f>$AR$7</f>
        <v>#VALUE!</v>
      </c>
      <c r="G64" s="2" t="e" vm="50">
        <f>$AU$8</f>
        <v>#VALUE!</v>
      </c>
      <c r="H64" s="18">
        <v>1</v>
      </c>
      <c r="I64" s="4" t="e" vm="51">
        <f>$P$8</f>
        <v>#VALUE!</v>
      </c>
      <c r="J64" s="2" t="e" vm="210">
        <f>$T$8</f>
        <v>#VALUE!</v>
      </c>
      <c r="K64" s="2" t="e" vm="362">
        <f>$AF$11</f>
        <v>#VALUE!</v>
      </c>
      <c r="L64" s="2" t="e" vm="10">
        <f>$Z$5</f>
        <v>#VALUE!</v>
      </c>
      <c r="M64" s="2" t="e" vm="561">
        <f>$AI$26</f>
        <v>#VALUE!</v>
      </c>
      <c r="N64" s="6" t="e" vm="56">
        <f>IF(OR(
E64="TravelerAnemo",
E64="TravelerGeo",
E64="TravelerElectro",
E64="TravelerDendro",
E64="TravelerHydro",
E64="TravelerPyro",
E64="TravelerCryo"),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AX64" s="2" t="e" vm="569">
        <f>_xlfn.IMAGE(_xlfn.CONCAT("https://raw.githubusercontent.com/ItsCryp7iC/Genshin-Image-Hosting/main/Weapons/",WeaponsImg[[#This Row],[Name]],".png"),WeaponsImg[[#This Row],[Name]])</f>
        <v>#VALUE!</v>
      </c>
      <c r="AY64" s="3" t="s">
        <v>551</v>
      </c>
    </row>
    <row r="65" spans="4:51" ht="30" customHeight="1" x14ac:dyDescent="0.25">
      <c r="D65" s="5" t="e" vm="570">
        <f>_xlfn.IMAGE(_xlfn.CONCAT("https://raw.githubusercontent.com/ItsCryp7iC/Genshin-Image-Hosting/main/Characters/",CharacterDetailsImg[[#This Row],[Name]],".png"),CharacterDetailsImg[[#This Row],[Name]])</f>
        <v>#VALUE!</v>
      </c>
      <c r="E65" s="2" t="s">
        <v>552</v>
      </c>
      <c r="F65" s="2" t="e" vm="557">
        <f>$AR$7</f>
        <v>#VALUE!</v>
      </c>
      <c r="G65" s="2" t="e" vm="91">
        <f>$AU$5</f>
        <v>#VALUE!</v>
      </c>
      <c r="H65" s="18">
        <v>1</v>
      </c>
      <c r="I65" s="2" t="e" vm="209">
        <f>$P$5</f>
        <v>#VALUE!</v>
      </c>
      <c r="J65" s="2" t="e" vm="536">
        <f>$T$4</f>
        <v>#VALUE!</v>
      </c>
      <c r="K65" s="2" t="e" vm="9">
        <f>$AF$5</f>
        <v>#VALUE!</v>
      </c>
      <c r="L65" s="2" t="e" vm="469">
        <f>$Z$6</f>
        <v>#VALUE!</v>
      </c>
      <c r="M65" s="2" t="e" vm="537">
        <f>$AI$42</f>
        <v>#VALUE!</v>
      </c>
      <c r="N65" s="6" t="e" vm="97">
        <f>IF(OR(
E65="TravelerAnemo",
E65="TravelerGeo",
E65="TravelerElectro",
E65="TravelerDendro",
E65="TravelerHydro",
E65="TravelerPyro",
E65="TravelerCryo"),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AX65" s="2" t="e" vm="571">
        <f>_xlfn.IMAGE(_xlfn.CONCAT("https://raw.githubusercontent.com/ItsCryp7iC/Genshin-Image-Hosting/main/Weapons/",WeaponsImg[[#This Row],[Name]],".png"),WeaponsImg[[#This Row],[Name]])</f>
        <v>#VALUE!</v>
      </c>
      <c r="AY65" s="3" t="s">
        <v>553</v>
      </c>
    </row>
    <row r="66" spans="4:51" ht="30" customHeight="1" x14ac:dyDescent="0.25">
      <c r="D66" s="5" t="e" vm="572">
        <f>_xlfn.IMAGE(_xlfn.CONCAT("https://raw.githubusercontent.com/ItsCryp7iC/Genshin-Image-Hosting/main/Characters/",CharacterDetailsImg[[#This Row],[Name]],".png"),CharacterDetailsImg[[#This Row],[Name]])</f>
        <v>#VALUE!</v>
      </c>
      <c r="E66" s="2" t="s">
        <v>554</v>
      </c>
      <c r="F66" s="2" t="e" vm="557">
        <f>$AR$7</f>
        <v>#VALUE!</v>
      </c>
      <c r="G66" s="2" t="e" vm="112">
        <f>$AU$7</f>
        <v>#VALUE!</v>
      </c>
      <c r="H66" s="18">
        <v>1</v>
      </c>
      <c r="I66" s="2" t="e" vm="348">
        <f>$P$7</f>
        <v>#VALUE!</v>
      </c>
      <c r="J66" s="2" t="e" vm="210">
        <f>$T$8</f>
        <v>#VALUE!</v>
      </c>
      <c r="K66" s="2" t="e" vm="53">
        <f>$AF$8</f>
        <v>#VALUE!</v>
      </c>
      <c r="L66" s="2" t="e" vm="115">
        <f>$Z$9</f>
        <v>#VALUE!</v>
      </c>
      <c r="M66" s="2" t="e" vm="561">
        <f>$AI$26</f>
        <v>#VALUE!</v>
      </c>
      <c r="N66" s="6" t="e" vm="117">
        <f>IF(OR(
E66="TravelerAnemo",
E66="TravelerGeo",
E66="TravelerElectro",
E66="TravelerDendro",
E66="TravelerHydro",
E66="TravelerPyro",
E66="TravelerCryo"),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AX66" s="2" t="e" vm="573">
        <f>_xlfn.IMAGE(_xlfn.CONCAT("https://raw.githubusercontent.com/ItsCryp7iC/Genshin-Image-Hosting/main/Weapons/",WeaponsImg[[#This Row],[Name]],".png"),WeaponsImg[[#This Row],[Name]])</f>
        <v>#VALUE!</v>
      </c>
      <c r="AY66" s="3" t="s">
        <v>555</v>
      </c>
    </row>
    <row r="67" spans="4:51" ht="30" customHeight="1" x14ac:dyDescent="0.25">
      <c r="D67" s="5" t="e" vm="574">
        <f>_xlfn.IMAGE(_xlfn.CONCAT("https://raw.githubusercontent.com/ItsCryp7iC/Genshin-Image-Hosting/main/Characters/",CharacterDetailsImg[[#This Row],[Name]],".png"),CharacterDetailsImg[[#This Row],[Name]])</f>
        <v>#VALUE!</v>
      </c>
      <c r="E67" s="2" t="s">
        <v>556</v>
      </c>
      <c r="F67" s="2" t="e" vm="557">
        <f>$AR$7</f>
        <v>#VALUE!</v>
      </c>
      <c r="G67" s="2" t="e" vm="28">
        <f>$AU$6</f>
        <v>#VALUE!</v>
      </c>
      <c r="H67" s="18">
        <v>3.2</v>
      </c>
      <c r="I67" s="2" t="e" vm="527">
        <f>$P$23</f>
        <v>#VALUE!</v>
      </c>
      <c r="J67" s="4" t="e" vm="403">
        <f>$T$21</f>
        <v>#VALUE!</v>
      </c>
      <c r="K67" s="2" t="e" vm="31">
        <f>$AF$32</f>
        <v>#VALUE!</v>
      </c>
      <c r="L67" s="2" t="e" vm="271">
        <f>$Z$12</f>
        <v>#VALUE!</v>
      </c>
      <c r="M67" s="2" t="e" vm="511">
        <f>$AI$16</f>
        <v>#VALUE!</v>
      </c>
      <c r="N67" s="6" t="e" vm="34">
        <f>IF(OR(
E67="TravelerAnemo",
E67="TravelerGeo",
E67="TravelerElectro",
E67="TravelerDendro",
E67="TravelerHydro",
E67="TravelerPyro",
E67="TravelerCryo"),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AX67" s="2" t="e" vm="575">
        <f>_xlfn.IMAGE(_xlfn.CONCAT("https://raw.githubusercontent.com/ItsCryp7iC/Genshin-Image-Hosting/main/Weapons/",WeaponsImg[[#This Row],[Name]],".png"),WeaponsImg[[#This Row],[Name]])</f>
        <v>#VALUE!</v>
      </c>
      <c r="AY67" s="3" t="s">
        <v>557</v>
      </c>
    </row>
    <row r="68" spans="4:51" ht="30" customHeight="1" x14ac:dyDescent="0.25">
      <c r="D68" s="5" t="e" vm="576">
        <f>_xlfn.IMAGE(_xlfn.CONCAT("https://raw.githubusercontent.com/ItsCryp7iC/Genshin-Image-Hosting/main/Characters/",CharacterDetailsImg[[#This Row],[Name]],".png"),CharacterDetailsImg[[#This Row],[Name]])</f>
        <v>#VALUE!</v>
      </c>
      <c r="E68" s="2" t="s">
        <v>558</v>
      </c>
      <c r="F68" s="2" t="e" vm="557">
        <f>$AR$7</f>
        <v>#VALUE!</v>
      </c>
      <c r="G68" s="2" t="e" vm="112">
        <f>$AU$7</f>
        <v>#VALUE!</v>
      </c>
      <c r="H68" s="18">
        <v>4.0999999999999996</v>
      </c>
      <c r="I68" s="2" t="e" vm="92">
        <f>$P$30</f>
        <v>#VALUE!</v>
      </c>
      <c r="J68" s="2" t="e" vm="93">
        <f>$T$25</f>
        <v>#VALUE!</v>
      </c>
      <c r="K68" s="2" t="e" vm="441">
        <f>$AF$47</f>
        <v>#VALUE!</v>
      </c>
      <c r="L68" s="2" t="e" vm="95">
        <f>$Z$14</f>
        <v>#VALUE!</v>
      </c>
      <c r="M68" s="2" t="e" vm="96">
        <f>$AI$19</f>
        <v>#VALUE!</v>
      </c>
      <c r="N68" s="6" t="e" vm="117">
        <f>IF(OR(
E68="TravelerAnemo",
E68="TravelerGeo",
E68="TravelerElectro",
E68="TravelerDendro",
E68="TravelerHydro",
E68="TravelerPyro",
E68="TravelerCryo"),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AX68" s="2" t="e" vm="577">
        <f>_xlfn.IMAGE(_xlfn.CONCAT("https://raw.githubusercontent.com/ItsCryp7iC/Genshin-Image-Hosting/main/Weapons/",WeaponsImg[[#This Row],[Name]],".png"),WeaponsImg[[#This Row],[Name]])</f>
        <v>#VALUE!</v>
      </c>
      <c r="AY68" s="3" t="s">
        <v>559</v>
      </c>
    </row>
    <row r="69" spans="4:51" ht="30" customHeight="1" x14ac:dyDescent="0.25">
      <c r="D69" s="5" t="e" vm="578">
        <f>_xlfn.IMAGE(_xlfn.CONCAT("https://raw.githubusercontent.com/ItsCryp7iC/Genshin-Image-Hosting/main/Characters/",CharacterDetailsImg[[#This Row],[Name]],".png"),CharacterDetailsImg[[#This Row],[Name]])</f>
        <v>#VALUE!</v>
      </c>
      <c r="E69" s="2" t="s">
        <v>560</v>
      </c>
      <c r="F69" s="2" t="e" vm="557">
        <f>$AR$7</f>
        <v>#VALUE!</v>
      </c>
      <c r="G69" s="2" t="e" vm="6">
        <f>$AU$4</f>
        <v>#VALUE!</v>
      </c>
      <c r="H69" s="18">
        <v>1</v>
      </c>
      <c r="I69" s="2" t="e" vm="7">
        <f>$P$6</f>
        <v>#VALUE!</v>
      </c>
      <c r="J69" s="2" t="e" vm="166">
        <f>$T$7</f>
        <v>#VALUE!</v>
      </c>
      <c r="K69" s="2" t="e" vm="211">
        <f>$AF$17</f>
        <v>#VALUE!</v>
      </c>
      <c r="L69" s="4" t="e" vm="442">
        <f>$Z$8</f>
        <v>#VALUE!</v>
      </c>
      <c r="M69" s="2" t="e" vm="579">
        <f>$AI$13</f>
        <v>#VALUE!</v>
      </c>
      <c r="N69" s="6" t="e" vm="12">
        <f>IF(OR(
E69="TravelerAnemo",
E69="TravelerGeo",
E69="TravelerElectro",
E69="TravelerDendro",
E69="TravelerHydro",
E69="TravelerPyro",
E69="TravelerCryo"),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AX69" s="2" t="e" vm="580">
        <f>_xlfn.IMAGE(_xlfn.CONCAT("https://raw.githubusercontent.com/ItsCryp7iC/Genshin-Image-Hosting/main/Weapons/",WeaponsImg[[#This Row],[Name]],".png"),WeaponsImg[[#This Row],[Name]])</f>
        <v>#VALUE!</v>
      </c>
      <c r="AY69" s="3" t="s">
        <v>561</v>
      </c>
    </row>
    <row r="70" spans="4:51" ht="30" customHeight="1" x14ac:dyDescent="0.25">
      <c r="D70" s="5" t="e" vm="581">
        <f>_xlfn.IMAGE(_xlfn.CONCAT("https://raw.githubusercontent.com/ItsCryp7iC/Genshin-Image-Hosting/main/Characters/",CharacterDetailsImg[[#This Row],[Name]],".png"),CharacterDetailsImg[[#This Row],[Name]])</f>
        <v>#VALUE!</v>
      </c>
      <c r="E70" s="2" t="s">
        <v>562</v>
      </c>
      <c r="F70" s="2" t="e" vm="557">
        <f>$AR$7</f>
        <v>#VALUE!</v>
      </c>
      <c r="G70" s="2" t="e" vm="112">
        <f>$AU$7</f>
        <v>#VALUE!</v>
      </c>
      <c r="H70" s="18">
        <v>2.1</v>
      </c>
      <c r="I70" s="2" t="e" vm="196">
        <f>$P$14</f>
        <v>#VALUE!</v>
      </c>
      <c r="J70" s="2" t="e" vm="582">
        <f>$T$15</f>
        <v>#VALUE!</v>
      </c>
      <c r="K70" s="2" t="e" vm="225">
        <f>$AF$23</f>
        <v>#VALUE!</v>
      </c>
      <c r="L70" s="2" t="e" vm="75">
        <f>$Z$11</f>
        <v>#VALUE!</v>
      </c>
      <c r="M70" s="2" t="e" vm="425">
        <f>$AI$33</f>
        <v>#VALUE!</v>
      </c>
      <c r="N70" s="6" t="e" vm="117">
        <f>IF(OR(
E70="TravelerAnemo",
E70="TravelerGeo",
E70="TravelerElectro",
E70="TravelerDendro",
E70="TravelerHydro",
E70="TravelerPyro",
E70="TravelerCryo"),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AX70" s="2" t="e" vm="583">
        <f>_xlfn.IMAGE(_xlfn.CONCAT("https://raw.githubusercontent.com/ItsCryp7iC/Genshin-Image-Hosting/main/Weapons/",WeaponsImg[[#This Row],[Name]],".png"),WeaponsImg[[#This Row],[Name]])</f>
        <v>#VALUE!</v>
      </c>
      <c r="AY70" s="3" t="s">
        <v>563</v>
      </c>
    </row>
    <row r="71" spans="4:51" ht="30" customHeight="1" x14ac:dyDescent="0.25">
      <c r="D71" s="5" t="e" vm="584">
        <f>_xlfn.IMAGE(_xlfn.CONCAT("https://raw.githubusercontent.com/ItsCryp7iC/Genshin-Image-Hosting/main/Characters/",CharacterDetailsImg[[#This Row],[Name]],".png"),CharacterDetailsImg[[#This Row],[Name]])</f>
        <v>#VALUE!</v>
      </c>
      <c r="E71" s="2" t="s">
        <v>564</v>
      </c>
      <c r="F71" s="2" t="e" vm="557">
        <f>$AR$7</f>
        <v>#VALUE!</v>
      </c>
      <c r="G71" s="2" t="e" vm="131">
        <f>$AU$3</f>
        <v>#VALUE!</v>
      </c>
      <c r="H71" s="18">
        <v>2.8</v>
      </c>
      <c r="I71" s="2" t="e" vm="238">
        <f>$P$18</f>
        <v>#VALUE!</v>
      </c>
      <c r="J71" s="2" t="e" vm="463">
        <f>$T$19</f>
        <v>#VALUE!</v>
      </c>
      <c r="K71" s="2" t="e" vm="225">
        <f>$AF$23</f>
        <v>#VALUE!</v>
      </c>
      <c r="L71" s="4" t="e" vm="54">
        <f>$Z$7</f>
        <v>#VALUE!</v>
      </c>
      <c r="M71" s="2" t="e" vm="489">
        <f>$AI$24</f>
        <v>#VALUE!</v>
      </c>
      <c r="N71" s="6" t="e" vm="135">
        <f>IF(OR(
E71="TravelerAnemo",
E71="TravelerGeo",
E71="TravelerElectro",
E71="TravelerDendro",
E71="TravelerHydro",
E71="TravelerPyro",
E71="TravelerCryo"),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AX71" s="2" t="e" vm="585">
        <f>_xlfn.IMAGE(_xlfn.CONCAT("https://raw.githubusercontent.com/ItsCryp7iC/Genshin-Image-Hosting/main/Weapons/",WeaponsImg[[#This Row],[Name]],".png"),WeaponsImg[[#This Row],[Name]])</f>
        <v>#VALUE!</v>
      </c>
      <c r="AY71" s="3" t="s">
        <v>565</v>
      </c>
    </row>
    <row r="72" spans="4:51" ht="30" customHeight="1" x14ac:dyDescent="0.25">
      <c r="D72" s="5" t="e" vm="586">
        <f>_xlfn.IMAGE(_xlfn.CONCAT("https://raw.githubusercontent.com/ItsCryp7iC/Genshin-Image-Hosting/main/Characters/",CharacterDetailsImg[[#This Row],[Name]],".png"),CharacterDetailsImg[[#This Row],[Name]])</f>
        <v>#VALUE!</v>
      </c>
      <c r="E72" s="2" t="s">
        <v>566</v>
      </c>
      <c r="F72" s="2" t="e" vm="557">
        <f>$AR$7</f>
        <v>#VALUE!</v>
      </c>
      <c r="G72" s="2" t="e" vm="131">
        <f>$AU$3</f>
        <v>#VALUE!</v>
      </c>
      <c r="H72" s="18">
        <v>1</v>
      </c>
      <c r="I72" s="2" t="e" vm="132">
        <f>$P$3</f>
        <v>#VALUE!</v>
      </c>
      <c r="J72" s="2" t="e" vm="166">
        <f>$T$7</f>
        <v>#VALUE!</v>
      </c>
      <c r="K72" s="2" t="e" vm="362">
        <f>$AF$11</f>
        <v>#VALUE!</v>
      </c>
      <c r="L72" s="2" t="e" vm="115">
        <f>$Z$9</f>
        <v>#VALUE!</v>
      </c>
      <c r="M72" s="2" t="e" vm="55">
        <f>$AI$44</f>
        <v>#VALUE!</v>
      </c>
      <c r="N72" s="6" t="e" vm="135">
        <f>IF(OR(
E72="TravelerAnemo",
E72="TravelerGeo",
E72="TravelerElectro",
E72="TravelerDendro",
E72="TravelerHydro",
E72="TravelerPyro",
E72="TravelerCryo"),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AX72" s="2" t="e" vm="587">
        <f>_xlfn.IMAGE(_xlfn.CONCAT("https://raw.githubusercontent.com/ItsCryp7iC/Genshin-Image-Hosting/main/Weapons/",WeaponsImg[[#This Row],[Name]],".png"),WeaponsImg[[#This Row],[Name]])</f>
        <v>#VALUE!</v>
      </c>
      <c r="AY72" s="3" t="s">
        <v>567</v>
      </c>
    </row>
    <row r="73" spans="4:51" ht="30" customHeight="1" x14ac:dyDescent="0.25">
      <c r="D73" s="5" t="e" vm="588">
        <f>_xlfn.IMAGE(_xlfn.CONCAT("https://raw.githubusercontent.com/ItsCryp7iC/Genshin-Image-Hosting/main/Characters/",CharacterDetailsImg[[#This Row],[Name]],".png"),CharacterDetailsImg[[#This Row],[Name]])</f>
        <v>#VALUE!</v>
      </c>
      <c r="E73" s="2" t="s">
        <v>568</v>
      </c>
      <c r="F73" s="2" t="e" vm="557">
        <f>$AR$7</f>
        <v>#VALUE!</v>
      </c>
      <c r="G73" s="2" t="e" vm="131">
        <f>$AU$3</f>
        <v>#VALUE!</v>
      </c>
      <c r="H73" s="18">
        <v>3.3</v>
      </c>
      <c r="I73" s="2" t="e" vm="249">
        <f>$P$21</f>
        <v>#VALUE!</v>
      </c>
      <c r="J73" s="2" t="e" vm="450">
        <f>$T$22</f>
        <v>#VALUE!</v>
      </c>
      <c r="K73" s="2" t="e" vm="270">
        <f>$AF$38</f>
        <v>#VALUE!</v>
      </c>
      <c r="L73" s="2" t="e" vm="183">
        <f>$Z$10</f>
        <v>#VALUE!</v>
      </c>
      <c r="M73" s="2" t="e" vm="384">
        <f>$AI$30</f>
        <v>#VALUE!</v>
      </c>
      <c r="N73" s="6" t="e" vm="135">
        <f>IF(OR(
E73="TravelerAnemo",
E73="TravelerGeo",
E73="TravelerElectro",
E73="TravelerDendro",
E73="TravelerHydro",
E73="TravelerPyro",
E73="TravelerCryo"),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AX73" s="2" t="e" vm="589">
        <f>_xlfn.IMAGE(_xlfn.CONCAT("https://raw.githubusercontent.com/ItsCryp7iC/Genshin-Image-Hosting/main/Weapons/",WeaponsImg[[#This Row],[Name]],".png"),WeaponsImg[[#This Row],[Name]])</f>
        <v>#VALUE!</v>
      </c>
      <c r="AY73" s="3" t="s">
        <v>569</v>
      </c>
    </row>
    <row r="74" spans="4:51" ht="30" customHeight="1" x14ac:dyDescent="0.25">
      <c r="D74" s="5" t="e" vm="590">
        <f>_xlfn.IMAGE(_xlfn.CONCAT("https://raw.githubusercontent.com/ItsCryp7iC/Genshin-Image-Hosting/main/Characters/",CharacterDetailsImg[[#This Row],[Name]],".png"),CharacterDetailsImg[[#This Row],[Name]])</f>
        <v>#VALUE!</v>
      </c>
      <c r="E74" s="2" t="s">
        <v>570</v>
      </c>
      <c r="F74" s="2" t="e" vm="557">
        <f>$AR$7</f>
        <v>#VALUE!</v>
      </c>
      <c r="G74" s="2" t="e" vm="164">
        <f>$AU$9</f>
        <v>#VALUE!</v>
      </c>
      <c r="H74" s="18">
        <v>4.0999999999999996</v>
      </c>
      <c r="I74" s="2" t="e" vm="565">
        <f>$P$29</f>
        <v>#VALUE!</v>
      </c>
      <c r="J74" s="2" t="e" vm="440">
        <f>$T$24</f>
        <v>#VALUE!</v>
      </c>
      <c r="K74" s="2" t="e" vm="259">
        <f>$AF$44</f>
        <v>#VALUE!</v>
      </c>
      <c r="L74" s="2" t="e" vm="260">
        <f>$Z$15</f>
        <v>#VALUE!</v>
      </c>
      <c r="M74" s="2" t="e" vm="591">
        <f>$AI$40</f>
        <v>#VALUE!</v>
      </c>
      <c r="N74" s="6" t="e" vm="168">
        <f>IF(OR(
E74="TravelerAnemo",
E74="TravelerGeo",
E74="TravelerElectro",
E74="TravelerDendro",
E74="TravelerHydro",
E74="TravelerPyro",
E74="TravelerCryo"),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AX74" s="2" t="e" vm="592">
        <f>_xlfn.IMAGE(_xlfn.CONCAT("https://raw.githubusercontent.com/ItsCryp7iC/Genshin-Image-Hosting/main/Weapons/",WeaponsImg[[#This Row],[Name]],".png"),WeaponsImg[[#This Row],[Name]])</f>
        <v>#VALUE!</v>
      </c>
      <c r="AY74" s="3" t="s">
        <v>571</v>
      </c>
    </row>
    <row r="75" spans="4:51" ht="30" customHeight="1" x14ac:dyDescent="0.25">
      <c r="D75" s="5" t="e" vm="593">
        <f>_xlfn.IMAGE(_xlfn.CONCAT("https://raw.githubusercontent.com/ItsCryp7iC/Genshin-Image-Hosting/main/Characters/",CharacterDetailsImg[[#This Row],[Name]],".png"),CharacterDetailsImg[[#This Row],[Name]])</f>
        <v>#VALUE!</v>
      </c>
      <c r="E75" s="2" t="s">
        <v>572</v>
      </c>
      <c r="F75" s="2" t="e" vm="557">
        <f>$AR$7</f>
        <v>#VALUE!</v>
      </c>
      <c r="G75" s="2" t="e" vm="131">
        <f>$AU$3</f>
        <v>#VALUE!</v>
      </c>
      <c r="H75" s="18">
        <v>4.4000000000000004</v>
      </c>
      <c r="I75" s="2" t="e" vm="449">
        <f>$P$32</f>
        <v>#VALUE!</v>
      </c>
      <c r="J75" s="2" t="e" vm="594">
        <f>$T$28</f>
        <v>#VALUE!</v>
      </c>
      <c r="K75" s="2" t="e" vm="349">
        <f>$AF$14</f>
        <v>#VALUE!</v>
      </c>
      <c r="L75" s="2" t="e" vm="10">
        <f>$Z$5</f>
        <v>#VALUE!</v>
      </c>
      <c r="M75" s="2" t="e" vm="595">
        <f>$AI$7</f>
        <v>#VALUE!</v>
      </c>
      <c r="N75" s="6" t="e" vm="135">
        <f>IF(OR(
E75="TravelerAnemo",
E75="TravelerGeo",
E75="TravelerElectro",
E75="TravelerDendro",
E75="TravelerHydro",
E75="TravelerPyro",
E75="TravelerCryo"),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AX75" s="2" t="e" vm="596">
        <f>_xlfn.IMAGE(_xlfn.CONCAT("https://raw.githubusercontent.com/ItsCryp7iC/Genshin-Image-Hosting/main/Weapons/",WeaponsImg[[#This Row],[Name]],".png"),WeaponsImg[[#This Row],[Name]])</f>
        <v>#VALUE!</v>
      </c>
      <c r="AY75" s="3" t="s">
        <v>573</v>
      </c>
    </row>
    <row r="76" spans="4:51" ht="30" customHeight="1" x14ac:dyDescent="0.25">
      <c r="D76" s="5" t="e" vm="597">
        <f>_xlfn.IMAGE(_xlfn.CONCAT("https://raw.githubusercontent.com/ItsCryp7iC/Genshin-Image-Hosting/main/Characters/",CharacterDetailsImg[[#This Row],[Name]],".png"),CharacterDetailsImg[[#This Row],[Name]])</f>
        <v>#VALUE!</v>
      </c>
      <c r="E76" s="2" t="s">
        <v>574</v>
      </c>
      <c r="F76" s="2" t="e" vm="557">
        <f>$AR$7</f>
        <v>#VALUE!</v>
      </c>
      <c r="G76" s="2" t="e" vm="91">
        <f>$AU$5</f>
        <v>#VALUE!</v>
      </c>
      <c r="H76" s="18">
        <v>2.5</v>
      </c>
      <c r="I76" s="2" t="e" vm="598">
        <f>$P$17</f>
        <v>#VALUE!</v>
      </c>
      <c r="J76" s="2" t="e" vm="463">
        <f>$T$19</f>
        <v>#VALUE!</v>
      </c>
      <c r="K76" s="2" t="e" vm="74">
        <f>$AF$26</f>
        <v>#VALUE!</v>
      </c>
      <c r="L76" s="2" t="e" vm="183">
        <f>$Z$10</f>
        <v>#VALUE!</v>
      </c>
      <c r="M76" s="2" t="e" vm="152">
        <f>$AI$35</f>
        <v>#VALUE!</v>
      </c>
      <c r="N76" s="6" t="e" vm="97">
        <f>IF(OR(
E76="TravelerAnemo",
E76="TravelerGeo",
E76="TravelerElectro",
E76="TravelerDendro",
E76="TravelerHydro",
E76="TravelerPyro",
E76="TravelerCryo"),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AX76" s="2" t="e" vm="599">
        <f>_xlfn.IMAGE(_xlfn.CONCAT("https://raw.githubusercontent.com/ItsCryp7iC/Genshin-Image-Hosting/main/Weapons/",WeaponsImg[[#This Row],[Name]],".png"),WeaponsImg[[#This Row],[Name]])</f>
        <v>#VALUE!</v>
      </c>
      <c r="AY76" s="3" t="s">
        <v>575</v>
      </c>
    </row>
    <row r="77" spans="4:51" ht="30" customHeight="1" x14ac:dyDescent="0.25">
      <c r="D77" s="5" t="e" vm="600">
        <f>_xlfn.IMAGE(_xlfn.CONCAT("https://raw.githubusercontent.com/ItsCryp7iC/Genshin-Image-Hosting/main/Characters/",CharacterDetailsImg[[#This Row],[Name]],".png"),CharacterDetailsImg[[#This Row],[Name]])</f>
        <v>#VALUE!</v>
      </c>
      <c r="E77" s="2" t="s">
        <v>576</v>
      </c>
      <c r="F77" s="2" t="e" vm="557">
        <f>$AR$7</f>
        <v>#VALUE!</v>
      </c>
      <c r="G77" s="2" t="e" vm="50">
        <f>$AU$8</f>
        <v>#VALUE!</v>
      </c>
      <c r="H77" s="18">
        <v>1.5</v>
      </c>
      <c r="I77" s="2" t="e" vm="601">
        <f>$P$9</f>
        <v>#VALUE!</v>
      </c>
      <c r="J77" s="2" t="e" vm="181">
        <f>$T$14</f>
        <v>#VALUE!</v>
      </c>
      <c r="K77" s="2" t="e" vm="349">
        <f>$AF$14</f>
        <v>#VALUE!</v>
      </c>
      <c r="L77" s="4" t="e" vm="54">
        <f>$Z$7</f>
        <v>#VALUE!</v>
      </c>
      <c r="M77" s="2" t="e" vm="495">
        <f>$AI$23</f>
        <v>#VALUE!</v>
      </c>
      <c r="N77" s="6" t="e" vm="56">
        <f>IF(OR(
E77="TravelerAnemo",
E77="TravelerGeo",
E77="TravelerElectro",
E77="TravelerDendro",
E77="TravelerHydro",
E77="TravelerPyro",
E77="TravelerCryo"),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AX77" s="2" t="e" vm="602">
        <f>_xlfn.IMAGE(_xlfn.CONCAT("https://raw.githubusercontent.com/ItsCryp7iC/Genshin-Image-Hosting/main/Weapons/",WeaponsImg[[#This Row],[Name]],".png"),WeaponsImg[[#This Row],[Name]])</f>
        <v>#VALUE!</v>
      </c>
      <c r="AY77" s="3" t="s">
        <v>577</v>
      </c>
    </row>
    <row r="78" spans="4:51" ht="30" customHeight="1" x14ac:dyDescent="0.25">
      <c r="D78" s="5" t="e" vm="603">
        <f>_xlfn.IMAGE(_xlfn.CONCAT("https://raw.githubusercontent.com/ItsCryp7iC/Genshin-Image-Hosting/main/Characters/",CharacterDetailsImg[[#This Row],[Name]],".png"),CharacterDetailsImg[[#This Row],[Name]])</f>
        <v>#VALUE!</v>
      </c>
      <c r="E78" s="2" t="s">
        <v>578</v>
      </c>
      <c r="F78" s="2" t="e" vm="551">
        <f>$AR$5</f>
        <v>#VALUE!</v>
      </c>
      <c r="G78" s="2" t="e" vm="112">
        <f>$AU$7</f>
        <v>#VALUE!</v>
      </c>
      <c r="H78" s="18">
        <v>3.1</v>
      </c>
      <c r="I78" s="2" t="e" vm="402">
        <f>$P$22</f>
        <v>#VALUE!</v>
      </c>
      <c r="J78" s="2" t="e" vm="239">
        <f>$T$20</f>
        <v>#VALUE!</v>
      </c>
      <c r="K78" s="2" t="e" vm="404">
        <f>$AF$35</f>
        <v>#VALUE!</v>
      </c>
      <c r="L78" s="2" t="e" vm="32">
        <f>$Z$13</f>
        <v>#VALUE!</v>
      </c>
      <c r="M78" s="2" t="e" vm="76">
        <f>$AI$14</f>
        <v>#VALUE!</v>
      </c>
      <c r="N78" s="6" t="e" vm="117">
        <f>IF(OR(
E78="TravelerAnemo",
E78="TravelerGeo",
E78="TravelerElectro",
E78="TravelerDendro",
E78="TravelerHydro",
E78="TravelerPyro",
E78="TravelerCryo"),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AX78" s="2" t="e" vm="604">
        <f>_xlfn.IMAGE(_xlfn.CONCAT("https://raw.githubusercontent.com/ItsCryp7iC/Genshin-Image-Hosting/main/Weapons/",WeaponsImg[[#This Row],[Name]],".png"),WeaponsImg[[#This Row],[Name]])</f>
        <v>#VALUE!</v>
      </c>
      <c r="AY78" s="3" t="s">
        <v>579</v>
      </c>
    </row>
    <row r="79" spans="4:51" ht="30" customHeight="1" x14ac:dyDescent="0.25">
      <c r="D79" s="5" t="e" vm="605">
        <f>_xlfn.IMAGE(_xlfn.CONCAT("https://raw.githubusercontent.com/ItsCryp7iC/Genshin-Image-Hosting/main/Characters/",CharacterDetailsImg[[#This Row],[Name]],".png"),CharacterDetailsImg[[#This Row],[Name]])</f>
        <v>#VALUE!</v>
      </c>
      <c r="E79" s="2" t="s">
        <v>580</v>
      </c>
      <c r="F79" s="2" t="e" vm="551">
        <f>$AR$5</f>
        <v>#VALUE!</v>
      </c>
      <c r="G79" s="2" t="e" vm="50">
        <f>$AU$8</f>
        <v>#VALUE!</v>
      </c>
      <c r="H79" s="18">
        <v>4.3</v>
      </c>
      <c r="I79" s="2" t="e" vm="92">
        <f>$P$30</f>
        <v>#VALUE!</v>
      </c>
      <c r="J79" s="2" t="e" vm="594">
        <f>$T$28</f>
        <v>#VALUE!</v>
      </c>
      <c r="K79" s="2" t="e" vm="259">
        <f>$AF$44</f>
        <v>#VALUE!</v>
      </c>
      <c r="L79" s="2" t="e" vm="260">
        <f>$Z$15</f>
        <v>#VALUE!</v>
      </c>
      <c r="M79" s="2" t="e" vm="261">
        <f>$AI$18</f>
        <v>#VALUE!</v>
      </c>
      <c r="N79" s="6" t="e" vm="56">
        <f>IF(OR(
E79="TravelerAnemo",
E79="TravelerGeo",
E79="TravelerElectro",
E79="TravelerDendro",
E79="TravelerHydro",
E79="TravelerPyro",
E79="TravelerCryo"),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AX79" s="2" t="e" vm="606">
        <f>_xlfn.IMAGE(_xlfn.CONCAT("https://raw.githubusercontent.com/ItsCryp7iC/Genshin-Image-Hosting/main/Weapons/",WeaponsImg[[#This Row],[Name]],".png"),WeaponsImg[[#This Row],[Name]])</f>
        <v>#VALUE!</v>
      </c>
      <c r="AY79" s="3" t="s">
        <v>581</v>
      </c>
    </row>
    <row r="80" spans="4:51" ht="30" customHeight="1" x14ac:dyDescent="0.25">
      <c r="D80" s="5" t="e" vm="607">
        <f>_xlfn.IMAGE(_xlfn.CONCAT("https://raw.githubusercontent.com/ItsCryp7iC/Genshin-Image-Hosting/main/Characters/",CharacterDetailsImg[[#This Row],[Name]],".png"),CharacterDetailsImg[[#This Row],[Name]])</f>
        <v>#VALUE!</v>
      </c>
      <c r="E80" s="2" t="s">
        <v>582</v>
      </c>
      <c r="F80" s="2" t="e" vm="551">
        <f>$AR$5</f>
        <v>#VALUE!</v>
      </c>
      <c r="G80" s="2" t="e" vm="91">
        <f>$AU$5</f>
        <v>#VALUE!</v>
      </c>
      <c r="H80" s="18">
        <v>3.1</v>
      </c>
      <c r="I80" s="2" t="e" vm="510">
        <f>$P$19</f>
        <v>#VALUE!</v>
      </c>
      <c r="J80" s="2" t="e" vm="197">
        <f>$T$18</f>
        <v>#VALUE!</v>
      </c>
      <c r="K80" s="2" t="e" vm="404">
        <f>$AF$35</f>
        <v>#VALUE!</v>
      </c>
      <c r="L80" s="2" t="e" vm="10">
        <f>$Z$5</f>
        <v>#VALUE!</v>
      </c>
      <c r="M80" s="2" t="e" vm="608">
        <f>$AI$34</f>
        <v>#VALUE!</v>
      </c>
      <c r="N80" s="6" t="e" vm="97">
        <f>IF(OR(
E80="TravelerAnemo",
E80="TravelerGeo",
E80="TravelerElectro",
E80="TravelerDendro",
E80="TravelerHydro",
E80="TravelerPyro",
E80="TravelerCryo"),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AX80" s="2" t="e" vm="609">
        <f>_xlfn.IMAGE(_xlfn.CONCAT("https://raw.githubusercontent.com/ItsCryp7iC/Genshin-Image-Hosting/main/Weapons/",WeaponsImg[[#This Row],[Name]],".png"),WeaponsImg[[#This Row],[Name]])</f>
        <v>#VALUE!</v>
      </c>
      <c r="AY80" s="3" t="s">
        <v>583</v>
      </c>
    </row>
    <row r="81" spans="4:51" ht="30" customHeight="1" x14ac:dyDescent="0.25">
      <c r="D81" s="5" t="e" vm="610">
        <f>_xlfn.IMAGE(_xlfn.CONCAT("https://raw.githubusercontent.com/ItsCryp7iC/Genshin-Image-Hosting/main/Characters/",CharacterDetailsImg[[#This Row],[Name]],".png"),CharacterDetailsImg[[#This Row],[Name]])</f>
        <v>#VALUE!</v>
      </c>
      <c r="E81" s="2" t="s">
        <v>584</v>
      </c>
      <c r="F81" s="2" t="e" vm="551">
        <f>$AR$5</f>
        <v>#VALUE!</v>
      </c>
      <c r="G81" s="2" t="e" vm="50">
        <f>$AU$8</f>
        <v>#VALUE!</v>
      </c>
      <c r="H81" s="18">
        <v>1.3</v>
      </c>
      <c r="I81" s="2" t="e" vm="601">
        <f>$P$9</f>
        <v>#VALUE!</v>
      </c>
      <c r="J81" s="2" t="e" vm="393">
        <f>$T$9</f>
        <v>#VALUE!</v>
      </c>
      <c r="K81" s="2" t="e" vm="151">
        <f>$AF$20</f>
        <v>#VALUE!</v>
      </c>
      <c r="L81" s="2" t="e" vm="115">
        <f>$Z$9</f>
        <v>#VALUE!</v>
      </c>
      <c r="M81" s="2" t="e" vm="350">
        <f>$AI$36</f>
        <v>#VALUE!</v>
      </c>
      <c r="N81" s="6" t="e" vm="56">
        <f>IF(OR(
E81="TravelerAnemo",
E81="TravelerGeo",
E81="TravelerElectro",
E81="TravelerDendro",
E81="TravelerHydro",
E81="TravelerPyro",
E81="TravelerCryo"),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AX81" s="2" t="e" vm="611">
        <f>_xlfn.IMAGE(_xlfn.CONCAT("https://raw.githubusercontent.com/ItsCryp7iC/Genshin-Image-Hosting/main/Weapons/",WeaponsImg[[#This Row],[Name]],".png"),WeaponsImg[[#This Row],[Name]])</f>
        <v>#VALUE!</v>
      </c>
      <c r="AY81" s="3" t="s">
        <v>585</v>
      </c>
    </row>
    <row r="82" spans="4:51" ht="30" customHeight="1" x14ac:dyDescent="0.25">
      <c r="D82" s="5" t="e" vm="612">
        <f>_xlfn.IMAGE(_xlfn.CONCAT("https://raw.githubusercontent.com/ItsCryp7iC/Genshin-Image-Hosting/main/Characters/",CharacterDetailsImg[[#This Row],[Name]],".png"),CharacterDetailsImg[[#This Row],[Name]])</f>
        <v>#VALUE!</v>
      </c>
      <c r="E82" s="2" t="s">
        <v>586</v>
      </c>
      <c r="F82" s="2" t="e" vm="551">
        <f>$AR$5</f>
        <v>#VALUE!</v>
      </c>
      <c r="G82" s="2" t="e" vm="164">
        <f>$AU$9</f>
        <v>#VALUE!</v>
      </c>
      <c r="H82" s="18">
        <v>3.5</v>
      </c>
      <c r="I82" s="2" t="e" vm="29">
        <f>$P$24</f>
        <v>#VALUE!</v>
      </c>
      <c r="J82" s="2" t="e" vm="30">
        <f>$T$23</f>
        <v>#VALUE!</v>
      </c>
      <c r="K82" s="2" t="e" vm="9">
        <f>$AF$5</f>
        <v>#VALUE!</v>
      </c>
      <c r="L82" s="4" t="e" vm="442">
        <f>$Z$8</f>
        <v>#VALUE!</v>
      </c>
      <c r="M82" s="2" t="e" vm="541">
        <f>$AI$45</f>
        <v>#VALUE!</v>
      </c>
      <c r="N82" s="6" t="e" vm="168">
        <f>IF(OR(
E82="TravelerAnemo",
E82="TravelerGeo",
E82="TravelerElectro",
E82="TravelerDendro",
E82="TravelerHydro",
E82="TravelerPyro",
E82="TravelerCryo"),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AX82" s="2" t="e" vm="613">
        <f>_xlfn.IMAGE(_xlfn.CONCAT("https://raw.githubusercontent.com/ItsCryp7iC/Genshin-Image-Hosting/main/Weapons/",WeaponsImg[[#This Row],[Name]],".png"),WeaponsImg[[#This Row],[Name]])</f>
        <v>#VALUE!</v>
      </c>
      <c r="AY82" s="3" t="s">
        <v>587</v>
      </c>
    </row>
    <row r="83" spans="4:51" ht="30" customHeight="1" x14ac:dyDescent="0.25">
      <c r="D83" s="5" t="e" vm="614">
        <f>_xlfn.IMAGE(_xlfn.CONCAT("https://raw.githubusercontent.com/ItsCryp7iC/Genshin-Image-Hosting/main/Characters/",CharacterDetailsImg[[#This Row],[Name]],".png"),CharacterDetailsImg[[#This Row],[Name]])</f>
        <v>#VALUE!</v>
      </c>
      <c r="E83" s="2" t="s">
        <v>588</v>
      </c>
      <c r="F83" s="2" t="e" vm="551">
        <f>$AR$5</f>
        <v>#VALUE!</v>
      </c>
      <c r="G83" s="2" t="e" vm="91">
        <f>$AU$5</f>
        <v>#VALUE!</v>
      </c>
      <c r="H83" s="18">
        <v>2.1</v>
      </c>
      <c r="I83" s="2" t="e" vm="431">
        <f>$P$15</f>
        <v>#VALUE!</v>
      </c>
      <c r="J83" s="2" t="e" vm="361">
        <f>$T$17</f>
        <v>#VALUE!</v>
      </c>
      <c r="K83" s="2" t="e" vm="74">
        <f>$AF$26</f>
        <v>#VALUE!</v>
      </c>
      <c r="L83" s="2" t="e" vm="183">
        <f>$Z$10</f>
        <v>#VALUE!</v>
      </c>
      <c r="M83" s="2" t="e" vm="226">
        <f>$AI$3</f>
        <v>#VALUE!</v>
      </c>
      <c r="N83" s="6" t="e" vm="97">
        <f>IF(OR(
E83="TravelerAnemo",
E83="TravelerGeo",
E83="TravelerElectro",
E83="TravelerDendro",
E83="TravelerHydro",
E83="TravelerPyro",
E83="TravelerCryo"),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AX83" s="2" t="e" vm="615">
        <f>_xlfn.IMAGE(_xlfn.CONCAT("https://raw.githubusercontent.com/ItsCryp7iC/Genshin-Image-Hosting/main/Weapons/",WeaponsImg[[#This Row],[Name]],".png"),WeaponsImg[[#This Row],[Name]])</f>
        <v>#VALUE!</v>
      </c>
      <c r="AY83" s="3" t="s">
        <v>589</v>
      </c>
    </row>
    <row r="84" spans="4:51" ht="30" customHeight="1" x14ac:dyDescent="0.25">
      <c r="D84" s="5" t="e" vm="616">
        <f>_xlfn.IMAGE(_xlfn.CONCAT("https://raw.githubusercontent.com/ItsCryp7iC/Genshin-Image-Hosting/main/Characters/",CharacterDetailsImg[[#This Row],[Name]],".png"),CharacterDetailsImg[[#This Row],[Name]])</f>
        <v>#VALUE!</v>
      </c>
      <c r="E84" s="2" t="s">
        <v>590</v>
      </c>
      <c r="F84" s="2" t="e" vm="551">
        <f>$AR$5</f>
        <v>#VALUE!</v>
      </c>
      <c r="G84" s="2" t="e" vm="164">
        <f>$AU$9</f>
        <v>#VALUE!</v>
      </c>
      <c r="H84" s="18">
        <v>1.4</v>
      </c>
      <c r="I84" s="2" t="e" vm="165">
        <f>$P$4</f>
        <v>#VALUE!</v>
      </c>
      <c r="J84" s="2" t="e" vm="418">
        <f>$T$10</f>
        <v>#VALUE!</v>
      </c>
      <c r="K84" s="2" t="e" vm="9">
        <f>$AF$5</f>
        <v>#VALUE!</v>
      </c>
      <c r="L84" s="4" t="e" vm="442">
        <f>$Z$8</f>
        <v>#VALUE!</v>
      </c>
      <c r="M84" s="2" t="e" vm="537">
        <f>$AI$42</f>
        <v>#VALUE!</v>
      </c>
      <c r="N84" s="6" t="e" vm="168">
        <f>IF(OR(
E84="TravelerAnemo",
E84="TravelerGeo",
E84="TravelerElectro",
E84="TravelerDendro",
E84="TravelerHydro",
E84="TravelerPyro",
E84="TravelerCryo"),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AX84" s="2" t="e" vm="617">
        <f>_xlfn.IMAGE(_xlfn.CONCAT("https://raw.githubusercontent.com/ItsCryp7iC/Genshin-Image-Hosting/main/Weapons/",WeaponsImg[[#This Row],[Name]],".png"),WeaponsImg[[#This Row],[Name]])</f>
        <v>#VALUE!</v>
      </c>
      <c r="AY84" s="3" t="s">
        <v>591</v>
      </c>
    </row>
    <row r="85" spans="4:51" ht="30" customHeight="1" x14ac:dyDescent="0.25">
      <c r="D85" s="5" t="e" vm="618">
        <f>_xlfn.IMAGE(_xlfn.CONCAT("https://raw.githubusercontent.com/ItsCryp7iC/Genshin-Image-Hosting/main/Characters/",CharacterDetailsImg[[#This Row],[Name]],".png"),CharacterDetailsImg[[#This Row],[Name]])</f>
        <v>#VALUE!</v>
      </c>
      <c r="E85" s="2" t="s">
        <v>592</v>
      </c>
      <c r="F85" s="2" t="e" vm="551">
        <f>$AR$5</f>
        <v>#VALUE!</v>
      </c>
      <c r="G85" s="2" t="e" vm="164">
        <f>$AU$9</f>
        <v>#VALUE!</v>
      </c>
      <c r="H85" s="18">
        <v>2.4</v>
      </c>
      <c r="I85" s="2" t="e" vm="598">
        <f>$P$17</f>
        <v>#VALUE!</v>
      </c>
      <c r="J85" s="2" t="e" vm="582">
        <f>$T$15</f>
        <v>#VALUE!</v>
      </c>
      <c r="K85" s="2" t="e" vm="211">
        <f>$AF$17</f>
        <v>#VALUE!</v>
      </c>
      <c r="L85" s="2" t="e" vm="115">
        <f>$Z$9</f>
        <v>#VALUE!</v>
      </c>
      <c r="M85" s="2" t="e" vm="419">
        <f>$AI$27</f>
        <v>#VALUE!</v>
      </c>
      <c r="N85" s="6" t="e" vm="168">
        <f>IF(OR(
E85="TravelerAnemo",
E85="TravelerGeo",
E85="TravelerElectro",
E85="TravelerDendro",
E85="TravelerHydro",
E85="TravelerPyro",
E85="TravelerCryo"),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AX85" s="2" t="e" vm="619">
        <f>_xlfn.IMAGE(_xlfn.CONCAT("https://raw.githubusercontent.com/ItsCryp7iC/Genshin-Image-Hosting/main/Weapons/",WeaponsImg[[#This Row],[Name]],".png"),WeaponsImg[[#This Row],[Name]])</f>
        <v>#VALUE!</v>
      </c>
      <c r="AY85" s="3" t="s">
        <v>593</v>
      </c>
    </row>
    <row r="86" spans="4:51" ht="30" customHeight="1" x14ac:dyDescent="0.25">
      <c r="D86" s="5" t="e" vm="620">
        <f>_xlfn.IMAGE(_xlfn.CONCAT("https://raw.githubusercontent.com/ItsCryp7iC/Genshin-Image-Hosting/main/Characters/",CharacterDetailsImg[[#This Row],[Name]],".png"),CharacterDetailsImg[[#This Row],[Name]])</f>
        <v>#VALUE!</v>
      </c>
      <c r="E86" s="2" t="s">
        <v>594</v>
      </c>
      <c r="F86" s="2" t="e" vm="551">
        <f>$AR$5</f>
        <v>#VALUE!</v>
      </c>
      <c r="G86" s="2" t="e" vm="50">
        <f>$AU$8</f>
        <v>#VALUE!</v>
      </c>
      <c r="H86" s="18">
        <v>2.2000000000000002</v>
      </c>
      <c r="I86" s="2" t="e" vm="480">
        <f>$P$13</f>
        <v>#VALUE!</v>
      </c>
      <c r="J86" s="2" t="e" vm="582">
        <f>$T$15</f>
        <v>#VALUE!</v>
      </c>
      <c r="K86" s="2" t="e" vm="225">
        <f>$AF$23</f>
        <v>#VALUE!</v>
      </c>
      <c r="L86" s="4" t="e" vm="54">
        <f>$Z$7</f>
        <v>#VALUE!</v>
      </c>
      <c r="M86" s="2" t="e" vm="621">
        <f>$AI$12</f>
        <v>#VALUE!</v>
      </c>
      <c r="N86" s="6" t="e" vm="56">
        <f>IF(OR(
E86="TravelerAnemo",
E86="TravelerGeo",
E86="TravelerElectro",
E86="TravelerDendro",
E86="TravelerHydro",
E86="TravelerPyro",
E86="TravelerCryo"),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AX86" s="2" t="e" vm="622">
        <f>_xlfn.IMAGE(_xlfn.CONCAT("https://raw.githubusercontent.com/ItsCryp7iC/Genshin-Image-Hosting/main/Weapons/",WeaponsImg[[#This Row],[Name]],".png"),WeaponsImg[[#This Row],[Name]])</f>
        <v>#VALUE!</v>
      </c>
      <c r="AY86" s="3" t="s">
        <v>595</v>
      </c>
    </row>
    <row r="87" spans="4:51" ht="30" customHeight="1" x14ac:dyDescent="0.25">
      <c r="D87" s="5" t="e" vm="623">
        <f>_xlfn.IMAGE(_xlfn.CONCAT("https://raw.githubusercontent.com/ItsCryp7iC/Genshin-Image-Hosting/main/Characters/",CharacterDetailsImg[[#This Row],[Name]],".png"),CharacterDetailsImg[[#This Row],[Name]])</f>
        <v>#VALUE!</v>
      </c>
      <c r="E87" s="2" t="s">
        <v>596</v>
      </c>
      <c r="F87" s="2" t="e" vm="551">
        <f>$AR$5</f>
        <v>#VALUE!</v>
      </c>
      <c r="G87" s="2" t="e" vm="50">
        <f>$AU$8</f>
        <v>#VALUE!</v>
      </c>
      <c r="H87" s="18">
        <v>1</v>
      </c>
      <c r="I87" s="2" t="e" vm="51">
        <f>$P$8</f>
        <v>#VALUE!</v>
      </c>
      <c r="J87" s="2" t="e" vm="536">
        <f>$T$4</f>
        <v>#VALUE!</v>
      </c>
      <c r="K87" s="2" t="e" vm="151">
        <f>$AF$20</f>
        <v>#VALUE!</v>
      </c>
      <c r="L87" s="2" t="e" vm="469">
        <f>$Z$6</f>
        <v>#VALUE!</v>
      </c>
      <c r="M87" s="2" t="e" vm="624">
        <f>$AI$15</f>
        <v>#VALUE!</v>
      </c>
      <c r="N87" s="6" t="e" vm="56">
        <f>IF(OR(
E87="TravelerAnemo",
E87="TravelerGeo",
E87="TravelerElectro",
E87="TravelerDendro",
E87="TravelerHydro",
E87="TravelerPyro",
E87="TravelerCryo"),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AX87" s="2" t="e" vm="625">
        <f>_xlfn.IMAGE(_xlfn.CONCAT("https://raw.githubusercontent.com/ItsCryp7iC/Genshin-Image-Hosting/main/Weapons/",WeaponsImg[[#This Row],[Name]],".png"),WeaponsImg[[#This Row],[Name]])</f>
        <v>#VALUE!</v>
      </c>
      <c r="AY87" s="3" t="s">
        <v>597</v>
      </c>
    </row>
    <row r="88" spans="4:51" ht="30" customHeight="1" x14ac:dyDescent="0.25">
      <c r="D88" s="5" t="e" vm="626">
        <f>_xlfn.IMAGE(_xlfn.CONCAT("https://raw.githubusercontent.com/ItsCryp7iC/Genshin-Image-Hosting/main/Characters/",CharacterDetailsImg[[#This Row],[Name]],".png"),CharacterDetailsImg[[#This Row],[Name]])</f>
        <v>#VALUE!</v>
      </c>
      <c r="E88" s="2" t="s">
        <v>598</v>
      </c>
      <c r="F88" s="2" t="e" vm="551">
        <f>$AR$5</f>
        <v>#VALUE!</v>
      </c>
      <c r="G88" s="2" t="e" vm="131">
        <f>$AU$3</f>
        <v>#VALUE!</v>
      </c>
      <c r="H88" s="18">
        <v>1.3</v>
      </c>
      <c r="I88" s="2" t="e" vm="601">
        <f>$P$9</f>
        <v>#VALUE!</v>
      </c>
      <c r="J88" s="2" t="e" vm="418">
        <f>$T$10</f>
        <v>#VALUE!</v>
      </c>
      <c r="K88" s="2" t="e" vm="211">
        <f>$AF$17</f>
        <v>#VALUE!</v>
      </c>
      <c r="L88" s="2" t="e" vm="469">
        <f>$Z$6</f>
        <v>#VALUE!</v>
      </c>
      <c r="M88" s="2" t="e" vm="419">
        <f>$AI$27</f>
        <v>#VALUE!</v>
      </c>
      <c r="N88" s="6" t="e" vm="135">
        <f>IF(OR(
E88="TravelerAnemo",
E88="TravelerGeo",
E88="TravelerElectro",
E88="TravelerDendro",
E88="TravelerHydro",
E88="TravelerPyro",
E88="TravelerCryo"),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AX88" s="2" t="e" vm="627">
        <f>_xlfn.IMAGE(_xlfn.CONCAT("https://raw.githubusercontent.com/ItsCryp7iC/Genshin-Image-Hosting/main/Weapons/",WeaponsImg[[#This Row],[Name]],".png"),WeaponsImg[[#This Row],[Name]])</f>
        <v>#VALUE!</v>
      </c>
      <c r="AY88" s="3" t="s">
        <v>599</v>
      </c>
    </row>
    <row r="89" spans="4:51" ht="30" customHeight="1" x14ac:dyDescent="0.25">
      <c r="D89" s="5" t="e" vm="628">
        <f>_xlfn.IMAGE(_xlfn.CONCAT("https://raw.githubusercontent.com/ItsCryp7iC/Genshin-Image-Hosting/main/Characters/",CharacterDetailsImg[[#This Row],[Name]],".png"),CharacterDetailsImg[[#This Row],[Name]])</f>
        <v>#VALUE!</v>
      </c>
      <c r="E89" s="2" t="s">
        <v>600</v>
      </c>
      <c r="F89" s="2" t="e" vm="551">
        <f>$AR$5</f>
        <v>#VALUE!</v>
      </c>
      <c r="G89" s="2" t="e" vm="28">
        <f>$AU$6</f>
        <v>#VALUE!</v>
      </c>
      <c r="H89" s="18">
        <v>3.4</v>
      </c>
      <c r="I89" s="2" t="e" vm="527">
        <f>$P$23</f>
        <v>#VALUE!</v>
      </c>
      <c r="J89" s="2" t="e" vm="450">
        <f>$T$22</f>
        <v>#VALUE!</v>
      </c>
      <c r="K89" s="2" t="e" vm="151">
        <f>$AF$20</f>
        <v>#VALUE!</v>
      </c>
      <c r="L89" s="2" t="e" vm="469">
        <f>$Z$6</f>
        <v>#VALUE!</v>
      </c>
      <c r="M89" s="2" t="e" vm="624">
        <f>$AI$15</f>
        <v>#VALUE!</v>
      </c>
      <c r="N89" s="6" t="e" vm="34">
        <f>IF(OR(
E89="TravelerAnemo",
E89="TravelerGeo",
E89="TravelerElectro",
E89="TravelerDendro",
E89="TravelerHydro",
E89="TravelerPyro",
E89="TravelerCryo"),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AX89" s="2" t="e" vm="629">
        <f>_xlfn.IMAGE(_xlfn.CONCAT("https://raw.githubusercontent.com/ItsCryp7iC/Genshin-Image-Hosting/main/Weapons/",WeaponsImg[[#This Row],[Name]],".png"),WeaponsImg[[#This Row],[Name]])</f>
        <v>#VALUE!</v>
      </c>
      <c r="AY89" s="3" t="s">
        <v>601</v>
      </c>
    </row>
    <row r="90" spans="4:51" ht="30" customHeight="1" x14ac:dyDescent="0.25">
      <c r="D90" s="5" t="e" vm="630">
        <f>_xlfn.IMAGE(_xlfn.CONCAT("https://raw.githubusercontent.com/ItsCryp7iC/Genshin-Image-Hosting/main/Characters/",CharacterDetailsImg[[#This Row],[Name]],".png"),CharacterDetailsImg[[#This Row],[Name]])</f>
        <v>#VALUE!</v>
      </c>
      <c r="E90" s="2" t="s">
        <v>602</v>
      </c>
      <c r="F90" s="2" t="e" vm="551">
        <f>$AR$5</f>
        <v>#VALUE!</v>
      </c>
      <c r="G90" s="2" t="e" vm="6">
        <f>$AU$4</f>
        <v>#VALUE!</v>
      </c>
      <c r="H90" s="18">
        <v>2.4</v>
      </c>
      <c r="I90" s="2" t="e" vm="488">
        <f>$P$16</f>
        <v>#VALUE!</v>
      </c>
      <c r="J90" s="2" t="e" vm="432">
        <f>$T$16</f>
        <v>#VALUE!</v>
      </c>
      <c r="K90" s="2" t="e" vm="151">
        <f>$AF$20</f>
        <v>#VALUE!</v>
      </c>
      <c r="L90" s="2" t="e" vm="133">
        <f>$Z$3</f>
        <v>#VALUE!</v>
      </c>
      <c r="M90" s="2" t="e" vm="579">
        <f>$AI$13</f>
        <v>#VALUE!</v>
      </c>
      <c r="N90" s="6" t="e" vm="12">
        <f>IF(OR(
E90="TravelerAnemo",
E90="TravelerGeo",
E90="TravelerElectro",
E90="TravelerDendro",
E90="TravelerHydro",
E90="TravelerPyro",
E90="TravelerCryo"),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AX90" s="2" t="e" vm="631">
        <f>_xlfn.IMAGE(_xlfn.CONCAT("https://raw.githubusercontent.com/ItsCryp7iC/Genshin-Image-Hosting/main/Weapons/",WeaponsImg[[#This Row],[Name]],".png"),WeaponsImg[[#This Row],[Name]])</f>
        <v>#VALUE!</v>
      </c>
      <c r="AY90" s="3" t="s">
        <v>603</v>
      </c>
    </row>
    <row r="91" spans="4:51" ht="30" customHeight="1" x14ac:dyDescent="0.25">
      <c r="D91" s="7" t="e" vm="632">
        <f>_xlfn.IMAGE(_xlfn.CONCAT("https://raw.githubusercontent.com/ItsCryp7iC/Genshin-Image-Hosting/main/Characters/",CharacterDetailsImg[[#This Row],[Name]],".png"),CharacterDetailsImg[[#This Row],[Name]])</f>
        <v>#VALUE!</v>
      </c>
      <c r="E91" s="8" t="s">
        <v>604</v>
      </c>
      <c r="F91" s="8" t="e" vm="551">
        <f>$AR$5</f>
        <v>#VALUE!</v>
      </c>
      <c r="G91" s="8" t="e" vm="6">
        <f>$AU$4</f>
        <v>#VALUE!</v>
      </c>
      <c r="H91" s="24">
        <v>1.1000000000000001</v>
      </c>
      <c r="I91" s="8" t="e" vm="7">
        <f>$P$6</f>
        <v>#VALUE!</v>
      </c>
      <c r="J91" s="8" t="e" vm="8">
        <f>$T$11</f>
        <v>#VALUE!</v>
      </c>
      <c r="K91" s="8" t="e" vm="349">
        <f>$AF$14</f>
        <v>#VALUE!</v>
      </c>
      <c r="L91" s="8" t="e" vm="469">
        <f>$Z$6</f>
        <v>#VALUE!</v>
      </c>
      <c r="M91" s="8" t="e" vm="212">
        <f>$AI$8</f>
        <v>#VALUE!</v>
      </c>
      <c r="N91" s="9" t="e" vm="12">
        <f>IF(OR(
E91="TravelerAnemo",
E91="TravelerGeo",
E91="TravelerElectro",
E91="TravelerDendro",
E91="TravelerHydro",
E91="TravelerPyro",
E91="TravelerCryo"),
$AL$6,
IF(CharacterDetailsImg[[#This Row],[Element]]=$AU$3,$AL$26,
IF(CharacterDetailsImg[[#This Row],[Element]]=$AU$4,$AL$34,
IF(CharacterDetailsImg[[#This Row],[Element]]=$AU$5,$AL$22,
IF(CharacterDetailsImg[[#This Row],[Element]]=$AU$6,$AL$18,
IF(CharacterDetailsImg[[#This Row],[Element]]=$AU$7,$AL$14,
IF(CharacterDetailsImg[[#This Row],[Element]]=$AU$8,$AL$10,
IF(CharacterDetailsImg[[#This Row],[Element]]=$AU$9,$AL$30,""))))))))</f>
        <v>#VALUE!</v>
      </c>
      <c r="AX91" s="2" t="e" vm="633">
        <f>_xlfn.IMAGE(_xlfn.CONCAT("https://raw.githubusercontent.com/ItsCryp7iC/Genshin-Image-Hosting/main/Weapons/",WeaponsImg[[#This Row],[Name]],".png"),WeaponsImg[[#This Row],[Name]])</f>
        <v>#VALUE!</v>
      </c>
      <c r="AY91" s="3" t="s">
        <v>605</v>
      </c>
    </row>
    <row r="92" spans="4:51" ht="30" customHeight="1" x14ac:dyDescent="0.25">
      <c r="AX92" s="2" t="e" vm="634">
        <f>_xlfn.IMAGE(_xlfn.CONCAT("https://raw.githubusercontent.com/ItsCryp7iC/Genshin-Image-Hosting/main/Weapons/",WeaponsImg[[#This Row],[Name]],".png"),WeaponsImg[[#This Row],[Name]])</f>
        <v>#VALUE!</v>
      </c>
      <c r="AY92" s="3" t="s">
        <v>606</v>
      </c>
    </row>
    <row r="93" spans="4:51" ht="30" customHeight="1" x14ac:dyDescent="0.25">
      <c r="AX93" s="2" t="e" vm="635">
        <f>_xlfn.IMAGE(_xlfn.CONCAT("https://raw.githubusercontent.com/ItsCryp7iC/Genshin-Image-Hosting/main/Weapons/",WeaponsImg[[#This Row],[Name]],".png"),WeaponsImg[[#This Row],[Name]])</f>
        <v>#VALUE!</v>
      </c>
      <c r="AY93" s="3" t="s">
        <v>607</v>
      </c>
    </row>
    <row r="94" spans="4:51" ht="30" customHeight="1" x14ac:dyDescent="0.25">
      <c r="AX94" s="2" t="e" vm="636">
        <f>_xlfn.IMAGE(_xlfn.CONCAT("https://raw.githubusercontent.com/ItsCryp7iC/Genshin-Image-Hosting/main/Weapons/",WeaponsImg[[#This Row],[Name]],".png"),WeaponsImg[[#This Row],[Name]])</f>
        <v>#VALUE!</v>
      </c>
      <c r="AY94" s="3" t="s">
        <v>608</v>
      </c>
    </row>
    <row r="95" spans="4:51" ht="30" customHeight="1" x14ac:dyDescent="0.25">
      <c r="AX95" s="2" t="e" vm="637">
        <f>_xlfn.IMAGE(_xlfn.CONCAT("https://raw.githubusercontent.com/ItsCryp7iC/Genshin-Image-Hosting/main/Weapons/",WeaponsImg[[#This Row],[Name]],".png"),WeaponsImg[[#This Row],[Name]])</f>
        <v>#VALUE!</v>
      </c>
      <c r="AY95" s="3" t="s">
        <v>609</v>
      </c>
    </row>
    <row r="96" spans="4:51" ht="30" customHeight="1" x14ac:dyDescent="0.25">
      <c r="AX96" s="2" t="e" vm="638">
        <f>_xlfn.IMAGE(_xlfn.CONCAT("https://raw.githubusercontent.com/ItsCryp7iC/Genshin-Image-Hosting/main/Weapons/",WeaponsImg[[#This Row],[Name]],".png"),WeaponsImg[[#This Row],[Name]])</f>
        <v>#VALUE!</v>
      </c>
      <c r="AY96" s="3" t="s">
        <v>610</v>
      </c>
    </row>
    <row r="97" spans="50:51" ht="30" customHeight="1" x14ac:dyDescent="0.25">
      <c r="AX97" s="2" t="e" vm="639">
        <f>_xlfn.IMAGE(_xlfn.CONCAT("https://raw.githubusercontent.com/ItsCryp7iC/Genshin-Image-Hosting/main/Weapons/",WeaponsImg[[#This Row],[Name]],".png"),WeaponsImg[[#This Row],[Name]])</f>
        <v>#VALUE!</v>
      </c>
      <c r="AY97" s="3" t="s">
        <v>611</v>
      </c>
    </row>
    <row r="98" spans="50:51" ht="30" customHeight="1" x14ac:dyDescent="0.25">
      <c r="AX98" s="2" t="e" vm="640">
        <f>_xlfn.IMAGE(_xlfn.CONCAT("https://raw.githubusercontent.com/ItsCryp7iC/Genshin-Image-Hosting/main/Weapons/",WeaponsImg[[#This Row],[Name]],".png"),WeaponsImg[[#This Row],[Name]])</f>
        <v>#VALUE!</v>
      </c>
      <c r="AY98" s="3" t="s">
        <v>612</v>
      </c>
    </row>
    <row r="99" spans="50:51" ht="30" customHeight="1" x14ac:dyDescent="0.25">
      <c r="AX99" s="2" t="e" vm="641">
        <f>_xlfn.IMAGE(_xlfn.CONCAT("https://raw.githubusercontent.com/ItsCryp7iC/Genshin-Image-Hosting/main/Weapons/",WeaponsImg[[#This Row],[Name]],".png"),WeaponsImg[[#This Row],[Name]])</f>
        <v>#VALUE!</v>
      </c>
      <c r="AY99" s="3" t="s">
        <v>613</v>
      </c>
    </row>
    <row r="100" spans="50:51" ht="30" customHeight="1" x14ac:dyDescent="0.25">
      <c r="AX100" s="2" t="e" vm="642">
        <f>_xlfn.IMAGE(_xlfn.CONCAT("https://raw.githubusercontent.com/ItsCryp7iC/Genshin-Image-Hosting/main/Weapons/",WeaponsImg[[#This Row],[Name]],".png"),WeaponsImg[[#This Row],[Name]])</f>
        <v>#VALUE!</v>
      </c>
      <c r="AY100" s="3" t="s">
        <v>614</v>
      </c>
    </row>
    <row r="101" spans="50:51" ht="30" customHeight="1" x14ac:dyDescent="0.25">
      <c r="AX101" s="2" t="e" vm="643">
        <f>_xlfn.IMAGE(_xlfn.CONCAT("https://raw.githubusercontent.com/ItsCryp7iC/Genshin-Image-Hosting/main/Weapons/",WeaponsImg[[#This Row],[Name]],".png"),WeaponsImg[[#This Row],[Name]])</f>
        <v>#VALUE!</v>
      </c>
      <c r="AY101" s="3" t="s">
        <v>615</v>
      </c>
    </row>
    <row r="102" spans="50:51" ht="30" customHeight="1" x14ac:dyDescent="0.25">
      <c r="AX102" s="2" t="e" vm="644">
        <f>_xlfn.IMAGE(_xlfn.CONCAT("https://raw.githubusercontent.com/ItsCryp7iC/Genshin-Image-Hosting/main/Weapons/",WeaponsImg[[#This Row],[Name]],".png"),WeaponsImg[[#This Row],[Name]])</f>
        <v>#VALUE!</v>
      </c>
      <c r="AY102" s="3" t="s">
        <v>616</v>
      </c>
    </row>
    <row r="103" spans="50:51" ht="30" customHeight="1" x14ac:dyDescent="0.25">
      <c r="AX103" s="2" t="e" vm="645">
        <f>_xlfn.IMAGE(_xlfn.CONCAT("https://raw.githubusercontent.com/ItsCryp7iC/Genshin-Image-Hosting/main/Weapons/",WeaponsImg[[#This Row],[Name]],".png"),WeaponsImg[[#This Row],[Name]])</f>
        <v>#VALUE!</v>
      </c>
      <c r="AY103" s="3" t="s">
        <v>617</v>
      </c>
    </row>
    <row r="104" spans="50:51" ht="30" customHeight="1" x14ac:dyDescent="0.25">
      <c r="AX104" s="2" t="e" vm="646">
        <f>_xlfn.IMAGE(_xlfn.CONCAT("https://raw.githubusercontent.com/ItsCryp7iC/Genshin-Image-Hosting/main/Weapons/",WeaponsImg[[#This Row],[Name]],".png"),WeaponsImg[[#This Row],[Name]])</f>
        <v>#VALUE!</v>
      </c>
      <c r="AY104" s="3" t="s">
        <v>618</v>
      </c>
    </row>
    <row r="105" spans="50:51" ht="30" customHeight="1" x14ac:dyDescent="0.25">
      <c r="AX105" s="2" t="e" vm="647">
        <f>_xlfn.IMAGE(_xlfn.CONCAT("https://raw.githubusercontent.com/ItsCryp7iC/Genshin-Image-Hosting/main/Weapons/",WeaponsImg[[#This Row],[Name]],".png"),WeaponsImg[[#This Row],[Name]])</f>
        <v>#VALUE!</v>
      </c>
      <c r="AY105" s="3" t="s">
        <v>619</v>
      </c>
    </row>
    <row r="106" spans="50:51" ht="30" customHeight="1" x14ac:dyDescent="0.25">
      <c r="AX106" s="2" t="e" vm="648">
        <f>_xlfn.IMAGE(_xlfn.CONCAT("https://raw.githubusercontent.com/ItsCryp7iC/Genshin-Image-Hosting/main/Weapons/",WeaponsImg[[#This Row],[Name]],".png"),WeaponsImg[[#This Row],[Name]])</f>
        <v>#VALUE!</v>
      </c>
      <c r="AY106" s="3" t="s">
        <v>620</v>
      </c>
    </row>
    <row r="107" spans="50:51" ht="30" customHeight="1" x14ac:dyDescent="0.25">
      <c r="AX107" s="2" t="e" vm="649">
        <f>_xlfn.IMAGE(_xlfn.CONCAT("https://raw.githubusercontent.com/ItsCryp7iC/Genshin-Image-Hosting/main/Weapons/",WeaponsImg[[#This Row],[Name]],".png"),WeaponsImg[[#This Row],[Name]])</f>
        <v>#VALUE!</v>
      </c>
      <c r="AY107" s="3" t="s">
        <v>621</v>
      </c>
    </row>
    <row r="108" spans="50:51" ht="30" customHeight="1" x14ac:dyDescent="0.25">
      <c r="AX108" s="2" t="e" vm="650">
        <f>_xlfn.IMAGE(_xlfn.CONCAT("https://raw.githubusercontent.com/ItsCryp7iC/Genshin-Image-Hosting/main/Weapons/",WeaponsImg[[#This Row],[Name]],".png"),WeaponsImg[[#This Row],[Name]])</f>
        <v>#VALUE!</v>
      </c>
      <c r="AY108" s="3" t="s">
        <v>622</v>
      </c>
    </row>
    <row r="109" spans="50:51" ht="30" customHeight="1" x14ac:dyDescent="0.25">
      <c r="AX109" s="2" t="e" vm="651">
        <f>_xlfn.IMAGE(_xlfn.CONCAT("https://raw.githubusercontent.com/ItsCryp7iC/Genshin-Image-Hosting/main/Weapons/",WeaponsImg[[#This Row],[Name]],".png"),WeaponsImg[[#This Row],[Name]])</f>
        <v>#VALUE!</v>
      </c>
      <c r="AY109" s="3" t="s">
        <v>623</v>
      </c>
    </row>
    <row r="110" spans="50:51" ht="30" customHeight="1" x14ac:dyDescent="0.25">
      <c r="AX110" s="2" t="e" vm="652">
        <f>_xlfn.IMAGE(_xlfn.CONCAT("https://raw.githubusercontent.com/ItsCryp7iC/Genshin-Image-Hosting/main/Weapons/",WeaponsImg[[#This Row],[Name]],".png"),WeaponsImg[[#This Row],[Name]])</f>
        <v>#VALUE!</v>
      </c>
      <c r="AY110" s="3" t="s">
        <v>624</v>
      </c>
    </row>
    <row r="111" spans="50:51" ht="30" customHeight="1" x14ac:dyDescent="0.25">
      <c r="AX111" s="2" t="e" vm="653">
        <f>_xlfn.IMAGE(_xlfn.CONCAT("https://raw.githubusercontent.com/ItsCryp7iC/Genshin-Image-Hosting/main/Weapons/",WeaponsImg[[#This Row],[Name]],".png"),WeaponsImg[[#This Row],[Name]])</f>
        <v>#VALUE!</v>
      </c>
      <c r="AY111" s="3" t="s">
        <v>625</v>
      </c>
    </row>
    <row r="112" spans="50:51" ht="30" customHeight="1" x14ac:dyDescent="0.25">
      <c r="AX112" s="2" t="e" vm="654">
        <f>_xlfn.IMAGE(_xlfn.CONCAT("https://raw.githubusercontent.com/ItsCryp7iC/Genshin-Image-Hosting/main/Weapons/",WeaponsImg[[#This Row],[Name]],".png"),WeaponsImg[[#This Row],[Name]])</f>
        <v>#VALUE!</v>
      </c>
      <c r="AY112" s="3" t="s">
        <v>626</v>
      </c>
    </row>
    <row r="113" spans="50:51" ht="30" customHeight="1" x14ac:dyDescent="0.25">
      <c r="AX113" s="2" t="e" vm="655">
        <f>_xlfn.IMAGE(_xlfn.CONCAT("https://raw.githubusercontent.com/ItsCryp7iC/Genshin-Image-Hosting/main/Weapons/",WeaponsImg[[#This Row],[Name]],".png"),WeaponsImg[[#This Row],[Name]])</f>
        <v>#VALUE!</v>
      </c>
      <c r="AY113" s="3" t="s">
        <v>627</v>
      </c>
    </row>
    <row r="114" spans="50:51" ht="30" customHeight="1" x14ac:dyDescent="0.25">
      <c r="AX114" s="2" t="e" vm="656">
        <f>_xlfn.IMAGE(_xlfn.CONCAT("https://raw.githubusercontent.com/ItsCryp7iC/Genshin-Image-Hosting/main/Weapons/",WeaponsImg[[#This Row],[Name]],".png"),WeaponsImg[[#This Row],[Name]])</f>
        <v>#VALUE!</v>
      </c>
      <c r="AY114" s="3" t="s">
        <v>628</v>
      </c>
    </row>
    <row r="115" spans="50:51" ht="30" customHeight="1" x14ac:dyDescent="0.25">
      <c r="AX115" s="2" t="e" vm="657">
        <f>_xlfn.IMAGE(_xlfn.CONCAT("https://raw.githubusercontent.com/ItsCryp7iC/Genshin-Image-Hosting/main/Weapons/",WeaponsImg[[#This Row],[Name]],".png"),WeaponsImg[[#This Row],[Name]])</f>
        <v>#VALUE!</v>
      </c>
      <c r="AY115" s="3" t="s">
        <v>629</v>
      </c>
    </row>
    <row r="116" spans="50:51" ht="30" customHeight="1" x14ac:dyDescent="0.25">
      <c r="AX116" s="2" t="e" vm="658">
        <f>_xlfn.IMAGE(_xlfn.CONCAT("https://raw.githubusercontent.com/ItsCryp7iC/Genshin-Image-Hosting/main/Weapons/",WeaponsImg[[#This Row],[Name]],".png"),WeaponsImg[[#This Row],[Name]])</f>
        <v>#VALUE!</v>
      </c>
      <c r="AY116" s="3" t="s">
        <v>630</v>
      </c>
    </row>
    <row r="117" spans="50:51" ht="30" customHeight="1" x14ac:dyDescent="0.25">
      <c r="AX117" s="2" t="e" vm="659">
        <f>_xlfn.IMAGE(_xlfn.CONCAT("https://raw.githubusercontent.com/ItsCryp7iC/Genshin-Image-Hosting/main/Weapons/",WeaponsImg[[#This Row],[Name]],".png"),WeaponsImg[[#This Row],[Name]])</f>
        <v>#VALUE!</v>
      </c>
      <c r="AY117" s="3" t="s">
        <v>631</v>
      </c>
    </row>
    <row r="118" spans="50:51" ht="30" customHeight="1" x14ac:dyDescent="0.25">
      <c r="AX118" s="2" t="e" vm="660">
        <f>_xlfn.IMAGE(_xlfn.CONCAT("https://raw.githubusercontent.com/ItsCryp7iC/Genshin-Image-Hosting/main/Weapons/",WeaponsImg[[#This Row],[Name]],".png"),WeaponsImg[[#This Row],[Name]])</f>
        <v>#VALUE!</v>
      </c>
      <c r="AY118" s="3" t="s">
        <v>632</v>
      </c>
    </row>
    <row r="119" spans="50:51" ht="30" customHeight="1" x14ac:dyDescent="0.25">
      <c r="AX119" s="2" t="e" vm="661">
        <f>_xlfn.IMAGE(_xlfn.CONCAT("https://raw.githubusercontent.com/ItsCryp7iC/Genshin-Image-Hosting/main/Weapons/",WeaponsImg[[#This Row],[Name]],".png"),WeaponsImg[[#This Row],[Name]])</f>
        <v>#VALUE!</v>
      </c>
      <c r="AY119" s="3" t="s">
        <v>633</v>
      </c>
    </row>
    <row r="120" spans="50:51" ht="30" customHeight="1" x14ac:dyDescent="0.25">
      <c r="AX120" s="2" t="e" vm="662">
        <f>_xlfn.IMAGE(_xlfn.CONCAT("https://raw.githubusercontent.com/ItsCryp7iC/Genshin-Image-Hosting/main/Weapons/",WeaponsImg[[#This Row],[Name]],".png"),WeaponsImg[[#This Row],[Name]])</f>
        <v>#VALUE!</v>
      </c>
      <c r="AY120" s="3" t="s">
        <v>634</v>
      </c>
    </row>
    <row r="121" spans="50:51" ht="30" customHeight="1" x14ac:dyDescent="0.25">
      <c r="AX121" s="2" t="e" vm="663">
        <f>_xlfn.IMAGE(_xlfn.CONCAT("https://raw.githubusercontent.com/ItsCryp7iC/Genshin-Image-Hosting/main/Weapons/",WeaponsImg[[#This Row],[Name]],".png"),WeaponsImg[[#This Row],[Name]])</f>
        <v>#VALUE!</v>
      </c>
      <c r="AY121" s="3" t="s">
        <v>635</v>
      </c>
    </row>
    <row r="122" spans="50:51" ht="30" customHeight="1" x14ac:dyDescent="0.25">
      <c r="AX122" s="2" t="e" vm="664">
        <f>_xlfn.IMAGE(_xlfn.CONCAT("https://raw.githubusercontent.com/ItsCryp7iC/Genshin-Image-Hosting/main/Weapons/",WeaponsImg[[#This Row],[Name]],".png"),WeaponsImg[[#This Row],[Name]])</f>
        <v>#VALUE!</v>
      </c>
      <c r="AY122" s="3" t="s">
        <v>636</v>
      </c>
    </row>
    <row r="123" spans="50:51" ht="30" customHeight="1" x14ac:dyDescent="0.25">
      <c r="AX123" s="2" t="e" vm="665">
        <f>_xlfn.IMAGE(_xlfn.CONCAT("https://raw.githubusercontent.com/ItsCryp7iC/Genshin-Image-Hosting/main/Weapons/",WeaponsImg[[#This Row],[Name]],".png"),WeaponsImg[[#This Row],[Name]])</f>
        <v>#VALUE!</v>
      </c>
      <c r="AY123" s="3" t="s">
        <v>637</v>
      </c>
    </row>
    <row r="124" spans="50:51" ht="30" customHeight="1" x14ac:dyDescent="0.25">
      <c r="AX124" s="2" t="e" vm="666">
        <f>_xlfn.IMAGE(_xlfn.CONCAT("https://raw.githubusercontent.com/ItsCryp7iC/Genshin-Image-Hosting/main/Weapons/",WeaponsImg[[#This Row],[Name]],".png"),WeaponsImg[[#This Row],[Name]])</f>
        <v>#VALUE!</v>
      </c>
      <c r="AY124" s="3" t="s">
        <v>638</v>
      </c>
    </row>
    <row r="125" spans="50:51" ht="30" customHeight="1" x14ac:dyDescent="0.25">
      <c r="AX125" s="2" t="e" vm="667">
        <f>_xlfn.IMAGE(_xlfn.CONCAT("https://raw.githubusercontent.com/ItsCryp7iC/Genshin-Image-Hosting/main/Weapons/",WeaponsImg[[#This Row],[Name]],".png"),WeaponsImg[[#This Row],[Name]])</f>
        <v>#VALUE!</v>
      </c>
      <c r="AY125" s="3" t="s">
        <v>639</v>
      </c>
    </row>
    <row r="126" spans="50:51" ht="30" customHeight="1" x14ac:dyDescent="0.25">
      <c r="AX126" s="2" t="e" vm="668">
        <f>_xlfn.IMAGE(_xlfn.CONCAT("https://raw.githubusercontent.com/ItsCryp7iC/Genshin-Image-Hosting/main/Weapons/",WeaponsImg[[#This Row],[Name]],".png"),WeaponsImg[[#This Row],[Name]])</f>
        <v>#VALUE!</v>
      </c>
      <c r="AY126" s="3" t="s">
        <v>640</v>
      </c>
    </row>
    <row r="127" spans="50:51" ht="30" customHeight="1" x14ac:dyDescent="0.25">
      <c r="AX127" s="2" t="e" vm="669">
        <f>_xlfn.IMAGE(_xlfn.CONCAT("https://raw.githubusercontent.com/ItsCryp7iC/Genshin-Image-Hosting/main/Weapons/",WeaponsImg[[#This Row],[Name]],".png"),WeaponsImg[[#This Row],[Name]])</f>
        <v>#VALUE!</v>
      </c>
      <c r="AY127" s="3" t="s">
        <v>641</v>
      </c>
    </row>
    <row r="128" spans="50:51" ht="30" customHeight="1" x14ac:dyDescent="0.25">
      <c r="AX128" s="2" t="e" vm="670">
        <f>_xlfn.IMAGE(_xlfn.CONCAT("https://raw.githubusercontent.com/ItsCryp7iC/Genshin-Image-Hosting/main/Weapons/",WeaponsImg[[#This Row],[Name]],".png"),WeaponsImg[[#This Row],[Name]])</f>
        <v>#VALUE!</v>
      </c>
      <c r="AY128" s="3" t="s">
        <v>642</v>
      </c>
    </row>
    <row r="129" spans="50:51" ht="30" customHeight="1" x14ac:dyDescent="0.25">
      <c r="AX129" s="2" t="e" vm="671">
        <f>_xlfn.IMAGE(_xlfn.CONCAT("https://raw.githubusercontent.com/ItsCryp7iC/Genshin-Image-Hosting/main/Weapons/",WeaponsImg[[#This Row],[Name]],".png"),WeaponsImg[[#This Row],[Name]])</f>
        <v>#VALUE!</v>
      </c>
      <c r="AY129" s="3" t="s">
        <v>643</v>
      </c>
    </row>
    <row r="130" spans="50:51" ht="30" customHeight="1" x14ac:dyDescent="0.25">
      <c r="AX130" s="2" t="e" vm="672">
        <f>_xlfn.IMAGE(_xlfn.CONCAT("https://raw.githubusercontent.com/ItsCryp7iC/Genshin-Image-Hosting/main/Weapons/",WeaponsImg[[#This Row],[Name]],".png"),WeaponsImg[[#This Row],[Name]])</f>
        <v>#VALUE!</v>
      </c>
      <c r="AY130" s="3" t="s">
        <v>644</v>
      </c>
    </row>
    <row r="131" spans="50:51" ht="30" customHeight="1" x14ac:dyDescent="0.25">
      <c r="AX131" s="2" t="e" vm="673">
        <f>_xlfn.IMAGE(_xlfn.CONCAT("https://raw.githubusercontent.com/ItsCryp7iC/Genshin-Image-Hosting/main/Weapons/",WeaponsImg[[#This Row],[Name]],".png"),WeaponsImg[[#This Row],[Name]])</f>
        <v>#VALUE!</v>
      </c>
      <c r="AY131" s="3" t="s">
        <v>645</v>
      </c>
    </row>
    <row r="132" spans="50:51" ht="30" customHeight="1" x14ac:dyDescent="0.25">
      <c r="AX132" s="2" t="e" vm="674">
        <f>_xlfn.IMAGE(_xlfn.CONCAT("https://raw.githubusercontent.com/ItsCryp7iC/Genshin-Image-Hosting/main/Weapons/",WeaponsImg[[#This Row],[Name]],".png"),WeaponsImg[[#This Row],[Name]])</f>
        <v>#VALUE!</v>
      </c>
      <c r="AY132" s="3" t="s">
        <v>646</v>
      </c>
    </row>
    <row r="133" spans="50:51" ht="30" customHeight="1" x14ac:dyDescent="0.25">
      <c r="AX133" s="2" t="e" vm="675">
        <f>_xlfn.IMAGE(_xlfn.CONCAT("https://raw.githubusercontent.com/ItsCryp7iC/Genshin-Image-Hosting/main/Weapons/",WeaponsImg[[#This Row],[Name]],".png"),WeaponsImg[[#This Row],[Name]])</f>
        <v>#VALUE!</v>
      </c>
      <c r="AY133" s="3" t="s">
        <v>647</v>
      </c>
    </row>
    <row r="134" spans="50:51" ht="30" customHeight="1" x14ac:dyDescent="0.25">
      <c r="AX134" s="2" t="e" vm="676">
        <f>_xlfn.IMAGE(_xlfn.CONCAT("https://raw.githubusercontent.com/ItsCryp7iC/Genshin-Image-Hosting/main/Weapons/",WeaponsImg[[#This Row],[Name]],".png"),WeaponsImg[[#This Row],[Name]])</f>
        <v>#VALUE!</v>
      </c>
      <c r="AY134" s="3" t="s">
        <v>648</v>
      </c>
    </row>
    <row r="135" spans="50:51" ht="30" customHeight="1" x14ac:dyDescent="0.25">
      <c r="AX135" s="2" t="e" vm="677">
        <f>_xlfn.IMAGE(_xlfn.CONCAT("https://raw.githubusercontent.com/ItsCryp7iC/Genshin-Image-Hosting/main/Weapons/",WeaponsImg[[#This Row],[Name]],".png"),WeaponsImg[[#This Row],[Name]])</f>
        <v>#VALUE!</v>
      </c>
      <c r="AY135" s="3" t="s">
        <v>649</v>
      </c>
    </row>
    <row r="136" spans="50:51" ht="30" customHeight="1" x14ac:dyDescent="0.25">
      <c r="AX136" s="2" t="e" vm="678">
        <f>_xlfn.IMAGE(_xlfn.CONCAT("https://raw.githubusercontent.com/ItsCryp7iC/Genshin-Image-Hosting/main/Weapons/",WeaponsImg[[#This Row],[Name]],".png"),WeaponsImg[[#This Row],[Name]])</f>
        <v>#VALUE!</v>
      </c>
      <c r="AY136" s="3" t="s">
        <v>650</v>
      </c>
    </row>
    <row r="137" spans="50:51" ht="30" customHeight="1" x14ac:dyDescent="0.25">
      <c r="AX137" s="2" t="e" vm="679">
        <f>_xlfn.IMAGE(_xlfn.CONCAT("https://raw.githubusercontent.com/ItsCryp7iC/Genshin-Image-Hosting/main/Weapons/",WeaponsImg[[#This Row],[Name]],".png"),WeaponsImg[[#This Row],[Name]])</f>
        <v>#VALUE!</v>
      </c>
      <c r="AY137" s="3" t="s">
        <v>651</v>
      </c>
    </row>
    <row r="138" spans="50:51" ht="30" customHeight="1" x14ac:dyDescent="0.25">
      <c r="AX138" s="2" t="e" vm="680">
        <f>_xlfn.IMAGE(_xlfn.CONCAT("https://raw.githubusercontent.com/ItsCryp7iC/Genshin-Image-Hosting/main/Weapons/",WeaponsImg[[#This Row],[Name]],".png"),WeaponsImg[[#This Row],[Name]])</f>
        <v>#VALUE!</v>
      </c>
      <c r="AY138" s="3" t="s">
        <v>652</v>
      </c>
    </row>
    <row r="139" spans="50:51" ht="30" customHeight="1" x14ac:dyDescent="0.25">
      <c r="AX139" s="2" t="e" vm="681">
        <f>_xlfn.IMAGE(_xlfn.CONCAT("https://raw.githubusercontent.com/ItsCryp7iC/Genshin-Image-Hosting/main/Weapons/",WeaponsImg[[#This Row],[Name]],".png"),WeaponsImg[[#This Row],[Name]])</f>
        <v>#VALUE!</v>
      </c>
      <c r="AY139" s="3" t="s">
        <v>653</v>
      </c>
    </row>
    <row r="140" spans="50:51" ht="30" customHeight="1" x14ac:dyDescent="0.25">
      <c r="AX140" s="2" t="e" vm="682">
        <f>_xlfn.IMAGE(_xlfn.CONCAT("https://raw.githubusercontent.com/ItsCryp7iC/Genshin-Image-Hosting/main/Weapons/",WeaponsImg[[#This Row],[Name]],".png"),WeaponsImg[[#This Row],[Name]])</f>
        <v>#VALUE!</v>
      </c>
      <c r="AY140" s="3" t="s">
        <v>654</v>
      </c>
    </row>
    <row r="141" spans="50:51" ht="30" customHeight="1" x14ac:dyDescent="0.25">
      <c r="AX141" s="2" t="e" vm="683">
        <f>_xlfn.IMAGE(_xlfn.CONCAT("https://raw.githubusercontent.com/ItsCryp7iC/Genshin-Image-Hosting/main/Weapons/",WeaponsImg[[#This Row],[Name]],".png"),WeaponsImg[[#This Row],[Name]])</f>
        <v>#VALUE!</v>
      </c>
      <c r="AY141" s="3" t="s">
        <v>655</v>
      </c>
    </row>
    <row r="142" spans="50:51" ht="30" customHeight="1" x14ac:dyDescent="0.25">
      <c r="AX142" s="2" t="e" vm="684">
        <f>_xlfn.IMAGE(_xlfn.CONCAT("https://raw.githubusercontent.com/ItsCryp7iC/Genshin-Image-Hosting/main/Weapons/",WeaponsImg[[#This Row],[Name]],".png"),WeaponsImg[[#This Row],[Name]])</f>
        <v>#VALUE!</v>
      </c>
      <c r="AY142" s="3" t="s">
        <v>656</v>
      </c>
    </row>
    <row r="143" spans="50:51" ht="30" customHeight="1" x14ac:dyDescent="0.25">
      <c r="AX143" s="2" t="e" vm="685">
        <f>_xlfn.IMAGE(_xlfn.CONCAT("https://raw.githubusercontent.com/ItsCryp7iC/Genshin-Image-Hosting/main/Weapons/",WeaponsImg[[#This Row],[Name]],".png"),WeaponsImg[[#This Row],[Name]])</f>
        <v>#VALUE!</v>
      </c>
      <c r="AY143" s="3" t="s">
        <v>657</v>
      </c>
    </row>
    <row r="144" spans="50:51" ht="30" customHeight="1" x14ac:dyDescent="0.25">
      <c r="AX144" s="2" t="e" vm="686">
        <f>_xlfn.IMAGE(_xlfn.CONCAT("https://raw.githubusercontent.com/ItsCryp7iC/Genshin-Image-Hosting/main/Weapons/",WeaponsImg[[#This Row],[Name]],".png"),WeaponsImg[[#This Row],[Name]])</f>
        <v>#VALUE!</v>
      </c>
      <c r="AY144" s="3" t="s">
        <v>658</v>
      </c>
    </row>
    <row r="145" spans="50:51" ht="30" customHeight="1" x14ac:dyDescent="0.25">
      <c r="AX145" s="2" t="e" vm="687">
        <f>_xlfn.IMAGE(_xlfn.CONCAT("https://raw.githubusercontent.com/ItsCryp7iC/Genshin-Image-Hosting/main/Weapons/",WeaponsImg[[#This Row],[Name]],".png"),WeaponsImg[[#This Row],[Name]])</f>
        <v>#VALUE!</v>
      </c>
      <c r="AY145" s="3" t="s">
        <v>659</v>
      </c>
    </row>
    <row r="146" spans="50:51" ht="30" customHeight="1" x14ac:dyDescent="0.25">
      <c r="AX146" s="2" t="e" vm="688">
        <f>_xlfn.IMAGE(_xlfn.CONCAT("https://raw.githubusercontent.com/ItsCryp7iC/Genshin-Image-Hosting/main/Weapons/",WeaponsImg[[#This Row],[Name]],".png"),WeaponsImg[[#This Row],[Name]])</f>
        <v>#VALUE!</v>
      </c>
      <c r="AY146" s="3" t="s">
        <v>660</v>
      </c>
    </row>
    <row r="147" spans="50:51" ht="30" customHeight="1" x14ac:dyDescent="0.25">
      <c r="AX147" s="2" t="e" vm="689">
        <f>_xlfn.IMAGE(_xlfn.CONCAT("https://raw.githubusercontent.com/ItsCryp7iC/Genshin-Image-Hosting/main/Weapons/",WeaponsImg[[#This Row],[Name]],".png"),WeaponsImg[[#This Row],[Name]])</f>
        <v>#VALUE!</v>
      </c>
      <c r="AY147" s="3" t="s">
        <v>661</v>
      </c>
    </row>
    <row r="148" spans="50:51" ht="30" customHeight="1" x14ac:dyDescent="0.25">
      <c r="AX148" s="2" t="e" vm="690">
        <f>_xlfn.IMAGE(_xlfn.CONCAT("https://raw.githubusercontent.com/ItsCryp7iC/Genshin-Image-Hosting/main/Weapons/",WeaponsImg[[#This Row],[Name]],".png"),WeaponsImg[[#This Row],[Name]])</f>
        <v>#VALUE!</v>
      </c>
      <c r="AY148" s="3" t="s">
        <v>662</v>
      </c>
    </row>
    <row r="149" spans="50:51" ht="30" customHeight="1" x14ac:dyDescent="0.25">
      <c r="AX149" s="2" t="e" vm="691">
        <f>_xlfn.IMAGE(_xlfn.CONCAT("https://raw.githubusercontent.com/ItsCryp7iC/Genshin-Image-Hosting/main/Weapons/",WeaponsImg[[#This Row],[Name]],".png"),WeaponsImg[[#This Row],[Name]])</f>
        <v>#VALUE!</v>
      </c>
      <c r="AY149" s="3" t="s">
        <v>663</v>
      </c>
    </row>
    <row r="150" spans="50:51" ht="30" customHeight="1" x14ac:dyDescent="0.25">
      <c r="AX150" s="2" t="e" vm="692">
        <f>_xlfn.IMAGE(_xlfn.CONCAT("https://raw.githubusercontent.com/ItsCryp7iC/Genshin-Image-Hosting/main/Weapons/",WeaponsImg[[#This Row],[Name]],".png"),WeaponsImg[[#This Row],[Name]])</f>
        <v>#VALUE!</v>
      </c>
      <c r="AY150" s="3" t="s">
        <v>664</v>
      </c>
    </row>
    <row r="151" spans="50:51" ht="30" customHeight="1" x14ac:dyDescent="0.25">
      <c r="AX151" s="2" t="e" vm="693">
        <f>_xlfn.IMAGE(_xlfn.CONCAT("https://raw.githubusercontent.com/ItsCryp7iC/Genshin-Image-Hosting/main/Weapons/",WeaponsImg[[#This Row],[Name]],".png"),WeaponsImg[[#This Row],[Name]])</f>
        <v>#VALUE!</v>
      </c>
      <c r="AY151" s="3" t="s">
        <v>665</v>
      </c>
    </row>
    <row r="152" spans="50:51" ht="30" customHeight="1" x14ac:dyDescent="0.25">
      <c r="AX152" s="2" t="e" vm="694">
        <f>_xlfn.IMAGE(_xlfn.CONCAT("https://raw.githubusercontent.com/ItsCryp7iC/Genshin-Image-Hosting/main/Weapons/",WeaponsImg[[#This Row],[Name]],".png"),WeaponsImg[[#This Row],[Name]])</f>
        <v>#VALUE!</v>
      </c>
      <c r="AY152" s="3" t="s">
        <v>666</v>
      </c>
    </row>
    <row r="153" spans="50:51" ht="30" customHeight="1" x14ac:dyDescent="0.25">
      <c r="AX153" s="2" t="e" vm="695">
        <f>_xlfn.IMAGE(_xlfn.CONCAT("https://raw.githubusercontent.com/ItsCryp7iC/Genshin-Image-Hosting/main/Weapons/",WeaponsImg[[#This Row],[Name]],".png"),WeaponsImg[[#This Row],[Name]])</f>
        <v>#VALUE!</v>
      </c>
      <c r="AY153" s="3" t="s">
        <v>667</v>
      </c>
    </row>
    <row r="154" spans="50:51" ht="30" customHeight="1" x14ac:dyDescent="0.25">
      <c r="AX154" s="2" t="e" vm="696">
        <f>_xlfn.IMAGE(_xlfn.CONCAT("https://raw.githubusercontent.com/ItsCryp7iC/Genshin-Image-Hosting/main/Weapons/",WeaponsImg[[#This Row],[Name]],".png"),WeaponsImg[[#This Row],[Name]])</f>
        <v>#VALUE!</v>
      </c>
      <c r="AY154" s="3" t="s">
        <v>668</v>
      </c>
    </row>
    <row r="155" spans="50:51" ht="30" customHeight="1" x14ac:dyDescent="0.25">
      <c r="AX155" s="2" t="e" vm="697">
        <f>_xlfn.IMAGE(_xlfn.CONCAT("https://raw.githubusercontent.com/ItsCryp7iC/Genshin-Image-Hosting/main/Weapons/",WeaponsImg[[#This Row],[Name]],".png"),WeaponsImg[[#This Row],[Name]])</f>
        <v>#VALUE!</v>
      </c>
      <c r="AY155" s="3" t="s">
        <v>669</v>
      </c>
    </row>
    <row r="156" spans="50:51" ht="30" customHeight="1" x14ac:dyDescent="0.25">
      <c r="AX156" s="2" t="e" vm="698">
        <f>_xlfn.IMAGE(_xlfn.CONCAT("https://raw.githubusercontent.com/ItsCryp7iC/Genshin-Image-Hosting/main/Weapons/",WeaponsImg[[#This Row],[Name]],".png"),WeaponsImg[[#This Row],[Name]])</f>
        <v>#VALUE!</v>
      </c>
      <c r="AY156" s="3" t="s">
        <v>670</v>
      </c>
    </row>
    <row r="157" spans="50:51" ht="30" customHeight="1" x14ac:dyDescent="0.25">
      <c r="AX157" s="2" t="e" vm="699">
        <f>_xlfn.IMAGE(_xlfn.CONCAT("https://raw.githubusercontent.com/ItsCryp7iC/Genshin-Image-Hosting/main/Weapons/",WeaponsImg[[#This Row],[Name]],".png"),WeaponsImg[[#This Row],[Name]])</f>
        <v>#VALUE!</v>
      </c>
      <c r="AY157" s="3" t="s">
        <v>671</v>
      </c>
    </row>
    <row r="158" spans="50:51" ht="30" customHeight="1" x14ac:dyDescent="0.25">
      <c r="AX158" s="2" t="e" vm="700">
        <f>_xlfn.IMAGE(_xlfn.CONCAT("https://raw.githubusercontent.com/ItsCryp7iC/Genshin-Image-Hosting/main/Weapons/",WeaponsImg[[#This Row],[Name]],".png"),WeaponsImg[[#This Row],[Name]])</f>
        <v>#VALUE!</v>
      </c>
      <c r="AY158" s="3" t="s">
        <v>672</v>
      </c>
    </row>
    <row r="159" spans="50:51" ht="30" customHeight="1" x14ac:dyDescent="0.25">
      <c r="AX159" s="2" t="e" vm="701">
        <f>_xlfn.IMAGE(_xlfn.CONCAT("https://raw.githubusercontent.com/ItsCryp7iC/Genshin-Image-Hosting/main/Weapons/",WeaponsImg[[#This Row],[Name]],".png"),WeaponsImg[[#This Row],[Name]])</f>
        <v>#VALUE!</v>
      </c>
      <c r="AY159" s="3" t="s">
        <v>673</v>
      </c>
    </row>
    <row r="160" spans="50:51" ht="30" customHeight="1" x14ac:dyDescent="0.25">
      <c r="AX160" s="2" t="e" vm="702">
        <f>_xlfn.IMAGE(_xlfn.CONCAT("https://raw.githubusercontent.com/ItsCryp7iC/Genshin-Image-Hosting/main/Weapons/",WeaponsImg[[#This Row],[Name]],".png"),WeaponsImg[[#This Row],[Name]])</f>
        <v>#VALUE!</v>
      </c>
      <c r="AY160" s="3" t="s">
        <v>674</v>
      </c>
    </row>
    <row r="161" spans="50:51" ht="30" customHeight="1" x14ac:dyDescent="0.25">
      <c r="AX161" s="2" t="e" vm="703">
        <f>_xlfn.IMAGE(_xlfn.CONCAT("https://raw.githubusercontent.com/ItsCryp7iC/Genshin-Image-Hosting/main/Weapons/",WeaponsImg[[#This Row],[Name]],".png"),WeaponsImg[[#This Row],[Name]])</f>
        <v>#VALUE!</v>
      </c>
      <c r="AY161" s="3" t="s">
        <v>675</v>
      </c>
    </row>
    <row r="162" spans="50:51" ht="30" customHeight="1" x14ac:dyDescent="0.25">
      <c r="AX162" s="2" t="e" vm="704">
        <f>_xlfn.IMAGE(_xlfn.CONCAT("https://raw.githubusercontent.com/ItsCryp7iC/Genshin-Image-Hosting/main/Weapons/",WeaponsImg[[#This Row],[Name]],".png"),WeaponsImg[[#This Row],[Name]])</f>
        <v>#VALUE!</v>
      </c>
      <c r="AY162" s="3" t="s">
        <v>676</v>
      </c>
    </row>
    <row r="163" spans="50:51" ht="30" customHeight="1" x14ac:dyDescent="0.25">
      <c r="AX163" s="2" t="e" vm="705">
        <f>_xlfn.IMAGE(_xlfn.CONCAT("https://raw.githubusercontent.com/ItsCryp7iC/Genshin-Image-Hosting/main/Weapons/",WeaponsImg[[#This Row],[Name]],".png"),WeaponsImg[[#This Row],[Name]])</f>
        <v>#VALUE!</v>
      </c>
      <c r="AY163" s="3" t="s">
        <v>677</v>
      </c>
    </row>
    <row r="164" spans="50:51" ht="30" customHeight="1" x14ac:dyDescent="0.25">
      <c r="AX164" s="2" t="e" vm="706">
        <f>_xlfn.IMAGE(_xlfn.CONCAT("https://raw.githubusercontent.com/ItsCryp7iC/Genshin-Image-Hosting/main/Weapons/",WeaponsImg[[#This Row],[Name]],".png"),WeaponsImg[[#This Row],[Name]])</f>
        <v>#VALUE!</v>
      </c>
      <c r="AY164" s="3" t="s">
        <v>678</v>
      </c>
    </row>
    <row r="165" spans="50:51" ht="30" customHeight="1" x14ac:dyDescent="0.25">
      <c r="AX165" s="2" t="e" vm="707">
        <f>_xlfn.IMAGE(_xlfn.CONCAT("https://raw.githubusercontent.com/ItsCryp7iC/Genshin-Image-Hosting/main/Weapons/",WeaponsImg[[#This Row],[Name]],".png"),WeaponsImg[[#This Row],[Name]])</f>
        <v>#VALUE!</v>
      </c>
      <c r="AY165" s="3" t="s">
        <v>679</v>
      </c>
    </row>
    <row r="166" spans="50:51" ht="30" customHeight="1" x14ac:dyDescent="0.25">
      <c r="AX166" s="2" t="e" vm="708">
        <f>_xlfn.IMAGE(_xlfn.CONCAT("https://raw.githubusercontent.com/ItsCryp7iC/Genshin-Image-Hosting/main/Weapons/",WeaponsImg[[#This Row],[Name]],".png"),WeaponsImg[[#This Row],[Name]])</f>
        <v>#VALUE!</v>
      </c>
      <c r="AY166" s="3" t="s">
        <v>680</v>
      </c>
    </row>
    <row r="167" spans="50:51" ht="30" customHeight="1" x14ac:dyDescent="0.25">
      <c r="AX167" s="2" t="e" vm="709">
        <f>_xlfn.IMAGE(_xlfn.CONCAT("https://raw.githubusercontent.com/ItsCryp7iC/Genshin-Image-Hosting/main/Weapons/",WeaponsImg[[#This Row],[Name]],".png"),WeaponsImg[[#This Row],[Name]])</f>
        <v>#VALUE!</v>
      </c>
      <c r="AY167" s="3" t="s">
        <v>681</v>
      </c>
    </row>
    <row r="168" spans="50:51" ht="30" customHeight="1" x14ac:dyDescent="0.25">
      <c r="AX168" s="2" t="e" vm="710">
        <f>_xlfn.IMAGE(_xlfn.CONCAT("https://raw.githubusercontent.com/ItsCryp7iC/Genshin-Image-Hosting/main/Weapons/",WeaponsImg[[#This Row],[Name]],".png"),WeaponsImg[[#This Row],[Name]])</f>
        <v>#VALUE!</v>
      </c>
      <c r="AY168" s="3" t="s">
        <v>682</v>
      </c>
    </row>
    <row r="169" spans="50:51" ht="30" customHeight="1" x14ac:dyDescent="0.25">
      <c r="AX169" s="2" t="e" vm="711">
        <f>_xlfn.IMAGE(_xlfn.CONCAT("https://raw.githubusercontent.com/ItsCryp7iC/Genshin-Image-Hosting/main/Weapons/",WeaponsImg[[#This Row],[Name]],".png"),WeaponsImg[[#This Row],[Name]])</f>
        <v>#VALUE!</v>
      </c>
      <c r="AY169" s="3" t="s">
        <v>683</v>
      </c>
    </row>
    <row r="170" spans="50:51" ht="30" customHeight="1" x14ac:dyDescent="0.25">
      <c r="AX170" s="2" t="e" vm="712">
        <f>_xlfn.IMAGE(_xlfn.CONCAT("https://raw.githubusercontent.com/ItsCryp7iC/Genshin-Image-Hosting/main/Weapons/",WeaponsImg[[#This Row],[Name]],".png"),WeaponsImg[[#This Row],[Name]])</f>
        <v>#VALUE!</v>
      </c>
      <c r="AY170" s="3" t="s">
        <v>684</v>
      </c>
    </row>
    <row r="171" spans="50:51" ht="30" customHeight="1" x14ac:dyDescent="0.25">
      <c r="AX171" s="2" t="e" vm="713">
        <f>_xlfn.IMAGE(_xlfn.CONCAT("https://raw.githubusercontent.com/ItsCryp7iC/Genshin-Image-Hosting/main/Weapons/",WeaponsImg[[#This Row],[Name]],".png"),WeaponsImg[[#This Row],[Name]])</f>
        <v>#VALUE!</v>
      </c>
      <c r="AY171" s="3" t="s">
        <v>685</v>
      </c>
    </row>
    <row r="172" spans="50:51" ht="30" customHeight="1" x14ac:dyDescent="0.25">
      <c r="AX172" s="2" t="e" vm="714">
        <f>_xlfn.IMAGE(_xlfn.CONCAT("https://raw.githubusercontent.com/ItsCryp7iC/Genshin-Image-Hosting/main/Weapons/",WeaponsImg[[#This Row],[Name]],".png"),WeaponsImg[[#This Row],[Name]])</f>
        <v>#VALUE!</v>
      </c>
      <c r="AY172" s="3" t="s">
        <v>686</v>
      </c>
    </row>
    <row r="173" spans="50:51" ht="30" customHeight="1" x14ac:dyDescent="0.25">
      <c r="AX173" s="2" t="e" vm="715">
        <f>_xlfn.IMAGE(_xlfn.CONCAT("https://raw.githubusercontent.com/ItsCryp7iC/Genshin-Image-Hosting/main/Weapons/",WeaponsImg[[#This Row],[Name]],".png"),WeaponsImg[[#This Row],[Name]])</f>
        <v>#VALUE!</v>
      </c>
      <c r="AY173" s="3" t="s">
        <v>687</v>
      </c>
    </row>
    <row r="174" spans="50:51" ht="30" customHeight="1" x14ac:dyDescent="0.25">
      <c r="AX174" s="2" t="e" vm="716">
        <f>_xlfn.IMAGE(_xlfn.CONCAT("https://raw.githubusercontent.com/ItsCryp7iC/Genshin-Image-Hosting/main/Weapons/",WeaponsImg[[#This Row],[Name]],".png"),WeaponsImg[[#This Row],[Name]])</f>
        <v>#VALUE!</v>
      </c>
      <c r="AY174" s="3" t="s">
        <v>688</v>
      </c>
    </row>
    <row r="175" spans="50:51" ht="30" customHeight="1" x14ac:dyDescent="0.25">
      <c r="AX175" s="2" t="e" vm="717">
        <f>_xlfn.IMAGE(_xlfn.CONCAT("https://raw.githubusercontent.com/ItsCryp7iC/Genshin-Image-Hosting/main/Weapons/",WeaponsImg[[#This Row],[Name]],".png"),WeaponsImg[[#This Row],[Name]])</f>
        <v>#VALUE!</v>
      </c>
      <c r="AY175" s="3" t="s">
        <v>689</v>
      </c>
    </row>
    <row r="176" spans="50:51" ht="30" customHeight="1" x14ac:dyDescent="0.25">
      <c r="AX176" s="2" t="e" vm="718">
        <f>_xlfn.IMAGE(_xlfn.CONCAT("https://raw.githubusercontent.com/ItsCryp7iC/Genshin-Image-Hosting/main/Weapons/",WeaponsImg[[#This Row],[Name]],".png"),WeaponsImg[[#This Row],[Name]])</f>
        <v>#VALUE!</v>
      </c>
      <c r="AY176" s="3" t="s">
        <v>690</v>
      </c>
    </row>
  </sheetData>
  <mergeCells count="13">
    <mergeCell ref="A1:B1"/>
    <mergeCell ref="P1:R1"/>
    <mergeCell ref="T1:V1"/>
    <mergeCell ref="X1:AD1"/>
    <mergeCell ref="AF1:AG1"/>
    <mergeCell ref="AR1:AS1"/>
    <mergeCell ref="AU1:AV1"/>
    <mergeCell ref="AX1:AY1"/>
    <mergeCell ref="BA1:BB1"/>
    <mergeCell ref="D1:E1"/>
    <mergeCell ref="AL1:AM1"/>
    <mergeCell ref="AO1:AP1"/>
    <mergeCell ref="AI1:AJ1"/>
  </mergeCells>
  <phoneticPr fontId="4" type="noConversion"/>
  <pageMargins left="0.7" right="0.7" top="0.75" bottom="0.75" header="0.3" footer="0.3"/>
  <tableParts count="13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BF9188-F84E-401F-8DF4-C917DB25CD6A}">
  <sheetPr codeName="Sheet10">
    <tabColor rgb="FF66FF33"/>
  </sheetPr>
  <dimension ref="A1:AA70"/>
  <sheetViews>
    <sheetView workbookViewId="0">
      <selection activeCell="E11" sqref="E11"/>
    </sheetView>
    <sheetView topLeftCell="A2" zoomScaleNormal="100" workbookViewId="1">
      <selection activeCell="B4" sqref="B4"/>
    </sheetView>
  </sheetViews>
  <sheetFormatPr defaultColWidth="9.140625" defaultRowHeight="15" x14ac:dyDescent="0.25"/>
  <cols>
    <col min="1" max="1" width="9.140625" style="214"/>
    <col min="2" max="2" width="10.85546875" style="214" customWidth="1"/>
    <col min="3" max="3" width="0.7109375" style="214" customWidth="1"/>
    <col min="4" max="5" width="9.140625" style="214"/>
    <col min="6" max="6" width="0.7109375" style="214" customWidth="1"/>
    <col min="7" max="8" width="9.140625" style="214"/>
    <col min="9" max="9" width="0.7109375" style="214" customWidth="1"/>
    <col min="10" max="13" width="9.140625" style="214"/>
    <col min="14" max="14" width="9.140625" style="217"/>
    <col min="15" max="15" width="9.140625" style="214"/>
    <col min="16" max="16" width="0.7109375" style="214" customWidth="1"/>
    <col min="17" max="18" width="9.140625" style="214"/>
    <col min="19" max="19" width="0.7109375" style="214" customWidth="1"/>
    <col min="20" max="21" width="9.140625" style="214"/>
    <col min="22" max="22" width="0.7109375" style="214" customWidth="1"/>
    <col min="23" max="24" width="9.140625" style="214"/>
    <col min="25" max="25" width="0.7109375" style="214" customWidth="1"/>
    <col min="26" max="16384" width="9.140625" style="214"/>
  </cols>
  <sheetData>
    <row r="1" spans="1:27" ht="33.75" x14ac:dyDescent="0.25">
      <c r="A1" s="218" t="s">
        <v>691</v>
      </c>
      <c r="B1" s="218"/>
      <c r="C1" s="218"/>
      <c r="D1" s="218"/>
      <c r="E1" s="218"/>
      <c r="F1" s="218"/>
      <c r="G1" s="218"/>
      <c r="H1" s="218"/>
      <c r="I1" s="218"/>
      <c r="J1" s="218"/>
      <c r="K1" s="218"/>
      <c r="L1" s="218"/>
      <c r="M1" s="218"/>
      <c r="N1" s="218"/>
      <c r="O1" s="218"/>
      <c r="P1" s="218"/>
      <c r="Q1" s="218"/>
      <c r="R1" s="218"/>
      <c r="S1" s="218"/>
      <c r="T1" s="218"/>
      <c r="U1" s="218"/>
      <c r="V1" s="218"/>
      <c r="W1" s="218"/>
      <c r="X1" s="218"/>
      <c r="Y1" s="218"/>
      <c r="Z1" s="218"/>
      <c r="AA1" s="218"/>
    </row>
    <row r="2" spans="1:27" customFormat="1" ht="3.75" customHeight="1" x14ac:dyDescent="0.25"/>
    <row r="3" spans="1:27" x14ac:dyDescent="0.25">
      <c r="A3" s="219" t="s">
        <v>66</v>
      </c>
      <c r="B3" s="219"/>
      <c r="C3" s="220"/>
      <c r="D3" s="219" t="s">
        <v>68</v>
      </c>
      <c r="E3" s="219"/>
      <c r="F3" s="220"/>
      <c r="G3" s="219" t="s">
        <v>69</v>
      </c>
      <c r="H3" s="219"/>
      <c r="I3" s="220"/>
      <c r="J3" s="219" t="s">
        <v>70</v>
      </c>
      <c r="K3" s="219"/>
      <c r="L3" s="219"/>
      <c r="M3" s="219"/>
      <c r="N3" s="219"/>
      <c r="O3" s="219"/>
      <c r="P3" s="220"/>
      <c r="Q3" s="219" t="s">
        <v>71</v>
      </c>
      <c r="R3" s="219"/>
      <c r="S3" s="220"/>
      <c r="T3" s="219" t="s">
        <v>72</v>
      </c>
      <c r="U3" s="219"/>
      <c r="V3" s="220"/>
      <c r="W3" s="219" t="s">
        <v>73</v>
      </c>
      <c r="X3" s="219"/>
      <c r="Y3" s="220"/>
      <c r="Z3" s="219" t="s">
        <v>74</v>
      </c>
      <c r="AA3" s="219"/>
    </row>
    <row r="4" spans="1:27" x14ac:dyDescent="0.25">
      <c r="A4" s="214" t="s">
        <v>79</v>
      </c>
      <c r="B4" s="214" t="s">
        <v>692</v>
      </c>
      <c r="D4" s="214" t="s">
        <v>79</v>
      </c>
      <c r="E4" s="214" t="s">
        <v>692</v>
      </c>
      <c r="G4" s="214" t="s">
        <v>79</v>
      </c>
      <c r="H4" s="214" t="s">
        <v>692</v>
      </c>
      <c r="J4" s="214" t="s">
        <v>950</v>
      </c>
      <c r="K4" s="214" t="s">
        <v>952</v>
      </c>
      <c r="L4" s="214" t="s">
        <v>953</v>
      </c>
      <c r="M4" s="214" t="s">
        <v>954</v>
      </c>
      <c r="N4" s="215" t="s">
        <v>951</v>
      </c>
      <c r="O4" s="214" t="s">
        <v>955</v>
      </c>
      <c r="Q4" s="214" t="s">
        <v>79</v>
      </c>
      <c r="R4" s="214" t="s">
        <v>692</v>
      </c>
      <c r="T4" s="214" t="s">
        <v>79</v>
      </c>
      <c r="U4" s="214" t="s">
        <v>692</v>
      </c>
      <c r="W4" s="214" t="s">
        <v>79</v>
      </c>
      <c r="X4" s="214" t="s">
        <v>692</v>
      </c>
      <c r="Z4" s="214" t="s">
        <v>79</v>
      </c>
      <c r="AA4" s="214" t="s">
        <v>692</v>
      </c>
    </row>
    <row r="5" spans="1:27" ht="30" customHeight="1" x14ac:dyDescent="0.25">
      <c r="A5" s="214" t="e" vm="719">
        <f>ImgDatabase!A3</f>
        <v>#VALUE!</v>
      </c>
      <c r="D5" s="214" t="e" vm="132">
        <f>ImgDatabase!P3</f>
        <v>#VALUE!</v>
      </c>
      <c r="G5" s="214" t="e" vm="52">
        <f>ImgDatabase!T3</f>
        <v>#VALUE!</v>
      </c>
      <c r="J5" s="214" t="e" vm="133">
        <f>ImgDatabase!Z3</f>
        <v>#VALUE!</v>
      </c>
      <c r="K5" s="215"/>
      <c r="L5" s="215" t="e" vm="720">
        <f>ImgDatabase!AB3</f>
        <v>#VALUE!</v>
      </c>
      <c r="M5" s="215"/>
      <c r="N5" s="215" t="e" vm="721">
        <f>ImgDatabase!AD3</f>
        <v>#VALUE!</v>
      </c>
      <c r="Q5" s="214" t="e" vm="722">
        <f>ImgDatabase!AF3</f>
        <v>#VALUE!</v>
      </c>
      <c r="T5" s="214" t="e" vm="226">
        <f>ImgDatabase!AI3</f>
        <v>#VALUE!</v>
      </c>
      <c r="W5" s="214" t="e" vm="723">
        <f>ImgDatabase!AL3</f>
        <v>#VALUE!</v>
      </c>
      <c r="Z5" s="214" t="e" vm="724">
        <f>ImgDatabase!AO3</f>
        <v>#VALUE!</v>
      </c>
    </row>
    <row r="6" spans="1:27" ht="30" customHeight="1" x14ac:dyDescent="0.25">
      <c r="A6" s="214" t="e" vm="725">
        <f>ImgDatabase!A4</f>
        <v>#VALUE!</v>
      </c>
      <c r="D6" s="214" t="e" vm="165">
        <f>ImgDatabase!P4</f>
        <v>#VALUE!</v>
      </c>
      <c r="G6" s="214" t="e" vm="536">
        <f>ImgDatabase!T4</f>
        <v>#VALUE!</v>
      </c>
      <c r="J6" s="214" t="e" vm="373">
        <f>ImgDatabase!Z4</f>
        <v>#VALUE!</v>
      </c>
      <c r="K6" s="215"/>
      <c r="L6" s="215" t="e" vm="726">
        <f>ImgDatabase!AB4</f>
        <v>#VALUE!</v>
      </c>
      <c r="M6" s="215"/>
      <c r="N6" s="215" t="e" vm="727">
        <f>ImgDatabase!AD4</f>
        <v>#VALUE!</v>
      </c>
      <c r="Q6" s="214" t="e" vm="728">
        <f>ImgDatabase!AF4</f>
        <v>#VALUE!</v>
      </c>
      <c r="T6" s="214" t="e" vm="566">
        <f>ImgDatabase!AI4</f>
        <v>#VALUE!</v>
      </c>
      <c r="W6" s="214" t="e" vm="729">
        <f>ImgDatabase!AL4</f>
        <v>#VALUE!</v>
      </c>
      <c r="Z6" s="214" t="e" vm="730">
        <f>ImgDatabase!AO4</f>
        <v>#VALUE!</v>
      </c>
    </row>
    <row r="7" spans="1:27" ht="30" customHeight="1" x14ac:dyDescent="0.25">
      <c r="A7" s="214" t="e" vm="731">
        <f>ImgDatabase!A5</f>
        <v>#VALUE!</v>
      </c>
      <c r="D7" s="214" t="e" vm="209">
        <f>ImgDatabase!P5</f>
        <v>#VALUE!</v>
      </c>
      <c r="G7" s="214" t="e" vm="372">
        <f>ImgDatabase!T5</f>
        <v>#VALUE!</v>
      </c>
      <c r="J7" s="214" t="e" vm="10">
        <f>ImgDatabase!Z5</f>
        <v>#VALUE!</v>
      </c>
      <c r="K7" s="215"/>
      <c r="L7" s="215" t="e" vm="732">
        <f>ImgDatabase!AB5</f>
        <v>#VALUE!</v>
      </c>
      <c r="M7" s="215"/>
      <c r="N7" s="215" t="e" vm="733">
        <f>ImgDatabase!AD5</f>
        <v>#VALUE!</v>
      </c>
      <c r="Q7" s="214" t="e" vm="9">
        <f>ImgDatabase!AF5</f>
        <v>#VALUE!</v>
      </c>
      <c r="T7" s="214" t="e" vm="167">
        <f>ImgDatabase!AI5</f>
        <v>#VALUE!</v>
      </c>
      <c r="W7" s="214" t="e" vm="734">
        <f>ImgDatabase!AL5</f>
        <v>#VALUE!</v>
      </c>
      <c r="Z7" s="216"/>
      <c r="AA7" s="216"/>
    </row>
    <row r="8" spans="1:27" ht="30" customHeight="1" x14ac:dyDescent="0.25">
      <c r="A8" s="214" t="e" vm="735">
        <f>ImgDatabase!A6</f>
        <v>#VALUE!</v>
      </c>
      <c r="D8" s="214" t="e" vm="7">
        <f>ImgDatabase!P6</f>
        <v>#VALUE!</v>
      </c>
      <c r="G8" s="214" t="e" vm="281">
        <f>ImgDatabase!T6</f>
        <v>#VALUE!</v>
      </c>
      <c r="J8" s="214" t="e" vm="469">
        <f>ImgDatabase!Z6</f>
        <v>#VALUE!</v>
      </c>
      <c r="K8" s="215"/>
      <c r="L8" s="215" t="e" vm="736">
        <f>ImgDatabase!AB6</f>
        <v>#VALUE!</v>
      </c>
      <c r="M8" s="215"/>
      <c r="N8" s="215" t="e" vm="737">
        <f>ImgDatabase!AD6</f>
        <v>#VALUE!</v>
      </c>
      <c r="Q8" s="214" t="e" vm="738">
        <f>ImgDatabase!AF6</f>
        <v>#VALUE!</v>
      </c>
      <c r="T8" s="214" t="e" vm="11">
        <f>ImgDatabase!AI6</f>
        <v>#VALUE!</v>
      </c>
      <c r="W8" s="214" t="e" vm="291">
        <f>ImgDatabase!AL6</f>
        <v>#VALUE!</v>
      </c>
    </row>
    <row r="9" spans="1:27" ht="30" customHeight="1" x14ac:dyDescent="0.25">
      <c r="D9" s="214" t="e" vm="348">
        <f>ImgDatabase!P7</f>
        <v>#VALUE!</v>
      </c>
      <c r="G9" s="214" t="e" vm="166">
        <f>ImgDatabase!T7</f>
        <v>#VALUE!</v>
      </c>
      <c r="J9" s="214" t="e" vm="54">
        <f>ImgDatabase!Z7</f>
        <v>#VALUE!</v>
      </c>
      <c r="K9" s="215"/>
      <c r="L9" s="215" t="e" vm="739">
        <f>ImgDatabase!AB7</f>
        <v>#VALUE!</v>
      </c>
      <c r="M9" s="215"/>
      <c r="N9" s="215" t="e" vm="740">
        <f>ImgDatabase!AD7</f>
        <v>#VALUE!</v>
      </c>
      <c r="Q9" s="214" t="e" vm="741">
        <f>ImgDatabase!AF7</f>
        <v>#VALUE!</v>
      </c>
      <c r="T9" s="214" t="e" vm="595">
        <f>ImgDatabase!AI7</f>
        <v>#VALUE!</v>
      </c>
      <c r="W9" s="214" t="e" vm="742">
        <f>ImgDatabase!AL7</f>
        <v>#VALUE!</v>
      </c>
    </row>
    <row r="10" spans="1:27" ht="30" customHeight="1" x14ac:dyDescent="0.25">
      <c r="D10" s="214" t="e" vm="51">
        <f>ImgDatabase!P8</f>
        <v>#VALUE!</v>
      </c>
      <c r="G10" s="214" t="e" vm="210">
        <f>ImgDatabase!T8</f>
        <v>#VALUE!</v>
      </c>
      <c r="J10" s="214" t="e" vm="442">
        <f>ImgDatabase!Z8</f>
        <v>#VALUE!</v>
      </c>
      <c r="K10" s="215"/>
      <c r="L10" s="215" t="e" vm="743">
        <f>ImgDatabase!AB8</f>
        <v>#VALUE!</v>
      </c>
      <c r="M10" s="215"/>
      <c r="N10" s="215" t="e" vm="744">
        <f>ImgDatabase!AD8</f>
        <v>#VALUE!</v>
      </c>
      <c r="Q10" s="214" t="e" vm="53">
        <f>ImgDatabase!AF8</f>
        <v>#VALUE!</v>
      </c>
      <c r="T10" s="214" t="e" vm="212">
        <f>ImgDatabase!AI8</f>
        <v>#VALUE!</v>
      </c>
      <c r="W10" s="214" t="e" vm="745">
        <f>ImgDatabase!AL8</f>
        <v>#VALUE!</v>
      </c>
    </row>
    <row r="11" spans="1:27" ht="30" customHeight="1" x14ac:dyDescent="0.25">
      <c r="D11" s="214" t="e" vm="601">
        <f>ImgDatabase!P9</f>
        <v>#VALUE!</v>
      </c>
      <c r="G11" s="214" t="e" vm="393">
        <f>ImgDatabase!T9</f>
        <v>#VALUE!</v>
      </c>
      <c r="J11" s="214" t="e" vm="115">
        <f>ImgDatabase!Z9</f>
        <v>#VALUE!</v>
      </c>
      <c r="K11" s="215"/>
      <c r="L11" s="215" t="e" vm="746">
        <f>ImgDatabase!AB9</f>
        <v>#VALUE!</v>
      </c>
      <c r="M11" s="215"/>
      <c r="N11" s="215" t="e" vm="747">
        <f>ImgDatabase!AD9</f>
        <v>#VALUE!</v>
      </c>
      <c r="Q11" s="214" t="e" vm="748">
        <f>ImgDatabase!AF9</f>
        <v>#VALUE!</v>
      </c>
      <c r="T11" s="214" t="e" vm="363">
        <f>ImgDatabase!AI9</f>
        <v>#VALUE!</v>
      </c>
      <c r="W11" s="214" t="e" vm="749">
        <f>ImgDatabase!AL9</f>
        <v>#VALUE!</v>
      </c>
    </row>
    <row r="12" spans="1:27" ht="30" customHeight="1" x14ac:dyDescent="0.25">
      <c r="D12" s="214" t="e" vm="360">
        <f>ImgDatabase!P10</f>
        <v>#VALUE!</v>
      </c>
      <c r="G12" s="214" t="e" vm="418">
        <f>ImgDatabase!T10</f>
        <v>#VALUE!</v>
      </c>
      <c r="J12" s="214" t="e" vm="183">
        <f>ImgDatabase!Z10</f>
        <v>#VALUE!</v>
      </c>
      <c r="K12" s="215"/>
      <c r="L12" s="215" t="e" vm="750">
        <f>ImgDatabase!AB10</f>
        <v>#VALUE!</v>
      </c>
      <c r="M12" s="215"/>
      <c r="N12" s="215" t="e" vm="751">
        <f>ImgDatabase!AD10</f>
        <v>#VALUE!</v>
      </c>
      <c r="Q12" s="214" t="e" vm="752">
        <f>ImgDatabase!AF10</f>
        <v>#VALUE!</v>
      </c>
      <c r="T12" s="214" t="e" vm="134">
        <f>ImgDatabase!AI10</f>
        <v>#VALUE!</v>
      </c>
      <c r="W12" s="214" t="e" vm="56">
        <f>ImgDatabase!AL10</f>
        <v>#VALUE!</v>
      </c>
    </row>
    <row r="13" spans="1:27" ht="30" customHeight="1" x14ac:dyDescent="0.25">
      <c r="D13" s="214" t="e" vm="149">
        <f>ImgDatabase!P11</f>
        <v>#VALUE!</v>
      </c>
      <c r="G13" s="214" t="e" vm="8">
        <f>ImgDatabase!T11</f>
        <v>#VALUE!</v>
      </c>
      <c r="J13" s="214" t="e" vm="75">
        <f>ImgDatabase!Z11</f>
        <v>#VALUE!</v>
      </c>
      <c r="K13" s="215"/>
      <c r="L13" s="215" t="e" vm="753">
        <f>ImgDatabase!AB11</f>
        <v>#VALUE!</v>
      </c>
      <c r="M13" s="215"/>
      <c r="N13" s="215" t="e" vm="754">
        <f>ImgDatabase!AD11</f>
        <v>#VALUE!</v>
      </c>
      <c r="Q13" s="214" t="e" vm="362">
        <f>ImgDatabase!AF11</f>
        <v>#VALUE!</v>
      </c>
      <c r="T13" s="214" t="e" vm="433">
        <f>ImgDatabase!AI11</f>
        <v>#VALUE!</v>
      </c>
      <c r="W13" s="214" t="e" vm="755">
        <f>ImgDatabase!AL11</f>
        <v>#VALUE!</v>
      </c>
    </row>
    <row r="14" spans="1:27" ht="30" customHeight="1" x14ac:dyDescent="0.25">
      <c r="D14" s="214" t="e" vm="180">
        <f>ImgDatabase!P12</f>
        <v>#VALUE!</v>
      </c>
      <c r="G14" s="214" t="e" vm="481">
        <f>ImgDatabase!T12</f>
        <v>#VALUE!</v>
      </c>
      <c r="J14" s="214" t="e" vm="271">
        <f>ImgDatabase!Z12</f>
        <v>#VALUE!</v>
      </c>
      <c r="K14" s="215"/>
      <c r="L14" s="215" t="e" vm="756">
        <f>ImgDatabase!AB12</f>
        <v>#VALUE!</v>
      </c>
      <c r="M14" s="215"/>
      <c r="N14" s="215" t="e" vm="757">
        <f>ImgDatabase!AD12</f>
        <v>#VALUE!</v>
      </c>
      <c r="Q14" s="214" t="e" vm="758">
        <f>ImgDatabase!AF12</f>
        <v>#VALUE!</v>
      </c>
      <c r="T14" s="214" t="e" vm="621">
        <f>ImgDatabase!AI12</f>
        <v>#VALUE!</v>
      </c>
      <c r="W14" s="214" t="e" vm="759">
        <f>ImgDatabase!AL12</f>
        <v>#VALUE!</v>
      </c>
    </row>
    <row r="15" spans="1:27" ht="30" customHeight="1" x14ac:dyDescent="0.25">
      <c r="D15" s="214" t="e" vm="480">
        <f>ImgDatabase!P13</f>
        <v>#VALUE!</v>
      </c>
      <c r="G15" s="214" t="e" vm="150">
        <f>ImgDatabase!T13</f>
        <v>#VALUE!</v>
      </c>
      <c r="J15" s="214" t="e" vm="32">
        <f>ImgDatabase!Z13</f>
        <v>#VALUE!</v>
      </c>
      <c r="K15" s="215"/>
      <c r="L15" s="215" t="e" vm="760">
        <f>ImgDatabase!AB13</f>
        <v>#VALUE!</v>
      </c>
      <c r="M15" s="215"/>
      <c r="N15" s="215" t="e" vm="761">
        <f>ImgDatabase!AD13</f>
        <v>#VALUE!</v>
      </c>
      <c r="Q15" s="214" t="e" vm="762">
        <f>ImgDatabase!AF13</f>
        <v>#VALUE!</v>
      </c>
      <c r="T15" s="214" t="e" vm="579">
        <f>ImgDatabase!AI13</f>
        <v>#VALUE!</v>
      </c>
      <c r="W15" s="214" t="e" vm="763">
        <f>ImgDatabase!AL13</f>
        <v>#VALUE!</v>
      </c>
    </row>
    <row r="16" spans="1:27" ht="30" customHeight="1" x14ac:dyDescent="0.25">
      <c r="D16" s="214" t="e" vm="196">
        <f>ImgDatabase!P14</f>
        <v>#VALUE!</v>
      </c>
      <c r="G16" s="214" t="e" vm="181">
        <f>ImgDatabase!T14</f>
        <v>#VALUE!</v>
      </c>
      <c r="J16" s="214" t="e" vm="95">
        <f>ImgDatabase!Z14</f>
        <v>#VALUE!</v>
      </c>
      <c r="K16" s="215"/>
      <c r="L16" s="215" t="e" vm="764">
        <f>ImgDatabase!AB14</f>
        <v>#VALUE!</v>
      </c>
      <c r="M16" s="215"/>
      <c r="N16" s="215" t="e" vm="765">
        <f>ImgDatabase!AD14</f>
        <v>#VALUE!</v>
      </c>
      <c r="Q16" s="214" t="e" vm="349">
        <f>ImgDatabase!AF14</f>
        <v>#VALUE!</v>
      </c>
      <c r="T16" s="214" t="e" vm="76">
        <f>ImgDatabase!AI14</f>
        <v>#VALUE!</v>
      </c>
      <c r="W16" s="214" t="e" vm="117">
        <f>ImgDatabase!AL14</f>
        <v>#VALUE!</v>
      </c>
    </row>
    <row r="17" spans="4:23" ht="30" customHeight="1" x14ac:dyDescent="0.25">
      <c r="D17" s="214" t="e" vm="431">
        <f>ImgDatabase!P15</f>
        <v>#VALUE!</v>
      </c>
      <c r="G17" s="214" t="e" vm="582">
        <f>ImgDatabase!T15</f>
        <v>#VALUE!</v>
      </c>
      <c r="J17" s="214" t="e" vm="260">
        <f>ImgDatabase!Z15</f>
        <v>#VALUE!</v>
      </c>
      <c r="K17" s="215"/>
      <c r="L17" s="215" t="e" vm="766">
        <f>ImgDatabase!AB15</f>
        <v>#VALUE!</v>
      </c>
      <c r="M17" s="215"/>
      <c r="N17" s="215" t="e" vm="767">
        <f>ImgDatabase!AD15</f>
        <v>#VALUE!</v>
      </c>
      <c r="Q17" s="214" t="e" vm="768">
        <f>ImgDatabase!AF15</f>
        <v>#VALUE!</v>
      </c>
      <c r="T17" s="214" t="e" vm="624">
        <f>ImgDatabase!AI15</f>
        <v>#VALUE!</v>
      </c>
      <c r="W17" s="214" t="e" vm="769">
        <f>ImgDatabase!AL15</f>
        <v>#VALUE!</v>
      </c>
    </row>
    <row r="18" spans="4:23" ht="30" customHeight="1" x14ac:dyDescent="0.25">
      <c r="D18" s="214" t="e" vm="488">
        <f>ImgDatabase!P16</f>
        <v>#VALUE!</v>
      </c>
      <c r="G18" s="214" t="e" vm="432">
        <f>ImgDatabase!T16</f>
        <v>#VALUE!</v>
      </c>
      <c r="Q18" s="214" t="e" vm="770">
        <f>ImgDatabase!AF16</f>
        <v>#VALUE!</v>
      </c>
      <c r="T18" s="214" t="e" vm="511">
        <f>ImgDatabase!AI16</f>
        <v>#VALUE!</v>
      </c>
      <c r="W18" s="214" t="e" vm="771">
        <f>ImgDatabase!AL16</f>
        <v>#VALUE!</v>
      </c>
    </row>
    <row r="19" spans="4:23" ht="30" customHeight="1" x14ac:dyDescent="0.25">
      <c r="D19" s="214" t="e" vm="598">
        <f>ImgDatabase!P17</f>
        <v>#VALUE!</v>
      </c>
      <c r="G19" s="214" t="e" vm="361">
        <f>ImgDatabase!T17</f>
        <v>#VALUE!</v>
      </c>
      <c r="Q19" s="214" t="e" vm="211">
        <f>ImgDatabase!AF17</f>
        <v>#VALUE!</v>
      </c>
      <c r="T19" s="214" t="e" vm="116">
        <f>ImgDatabase!AI17</f>
        <v>#VALUE!</v>
      </c>
      <c r="W19" s="214" t="e" vm="772">
        <f>ImgDatabase!AL17</f>
        <v>#VALUE!</v>
      </c>
    </row>
    <row r="20" spans="4:23" ht="30" customHeight="1" x14ac:dyDescent="0.25">
      <c r="D20" s="214" t="e" vm="238">
        <f>ImgDatabase!P18</f>
        <v>#VALUE!</v>
      </c>
      <c r="G20" s="214" t="e" vm="197">
        <f>ImgDatabase!T18</f>
        <v>#VALUE!</v>
      </c>
      <c r="Q20" s="214" t="e" vm="773">
        <f>ImgDatabase!AF18</f>
        <v>#VALUE!</v>
      </c>
      <c r="T20" s="214" t="e" vm="261">
        <f>ImgDatabase!AI18</f>
        <v>#VALUE!</v>
      </c>
      <c r="W20" s="214" t="e" vm="34">
        <f>ImgDatabase!AL18</f>
        <v>#VALUE!</v>
      </c>
    </row>
    <row r="21" spans="4:23" ht="30" customHeight="1" x14ac:dyDescent="0.25">
      <c r="D21" s="214" t="e" vm="510">
        <f>ImgDatabase!P19</f>
        <v>#VALUE!</v>
      </c>
      <c r="G21" s="214" t="e" vm="463">
        <f>ImgDatabase!T19</f>
        <v>#VALUE!</v>
      </c>
      <c r="Q21" s="214" t="e" vm="774">
        <f>ImgDatabase!AF19</f>
        <v>#VALUE!</v>
      </c>
      <c r="T21" s="214" t="e" vm="96">
        <f>ImgDatabase!AI19</f>
        <v>#VALUE!</v>
      </c>
      <c r="W21" s="214" t="e" vm="775">
        <f>ImgDatabase!AL19</f>
        <v>#VALUE!</v>
      </c>
    </row>
    <row r="22" spans="4:23" ht="30" customHeight="1" x14ac:dyDescent="0.25">
      <c r="D22" s="214" t="e" vm="383">
        <f>ImgDatabase!P20</f>
        <v>#VALUE!</v>
      </c>
      <c r="G22" s="214" t="e" vm="239">
        <f>ImgDatabase!T20</f>
        <v>#VALUE!</v>
      </c>
      <c r="Q22" s="214" t="e" vm="151">
        <f>ImgDatabase!AF20</f>
        <v>#VALUE!</v>
      </c>
      <c r="T22" s="214" t="e" vm="528">
        <f>ImgDatabase!AI20</f>
        <v>#VALUE!</v>
      </c>
      <c r="W22" s="214" t="e" vm="776">
        <f>ImgDatabase!AL20</f>
        <v>#VALUE!</v>
      </c>
    </row>
    <row r="23" spans="4:23" ht="30" customHeight="1" x14ac:dyDescent="0.25">
      <c r="D23" s="214" t="e" vm="249">
        <f>ImgDatabase!P21</f>
        <v>#VALUE!</v>
      </c>
      <c r="G23" s="214" t="e" vm="403">
        <f>ImgDatabase!T21</f>
        <v>#VALUE!</v>
      </c>
      <c r="Q23" s="214" t="e" vm="777">
        <f>ImgDatabase!AF21</f>
        <v>#VALUE!</v>
      </c>
      <c r="T23" s="214" t="e" vm="240">
        <f>ImgDatabase!AI21</f>
        <v>#VALUE!</v>
      </c>
      <c r="W23" s="214" t="e" vm="778">
        <f>ImgDatabase!AL21</f>
        <v>#VALUE!</v>
      </c>
    </row>
    <row r="24" spans="4:23" ht="30" customHeight="1" x14ac:dyDescent="0.25">
      <c r="D24" s="214" t="e" vm="402">
        <f>ImgDatabase!P22</f>
        <v>#VALUE!</v>
      </c>
      <c r="G24" s="214" t="e" vm="450">
        <f>ImgDatabase!T22</f>
        <v>#VALUE!</v>
      </c>
      <c r="Q24" s="214" t="e" vm="779">
        <f>ImgDatabase!AF22</f>
        <v>#VALUE!</v>
      </c>
      <c r="T24" s="214" t="e" vm="250">
        <f>ImgDatabase!AI22</f>
        <v>#VALUE!</v>
      </c>
      <c r="W24" s="214" t="e" vm="97">
        <f>ImgDatabase!AL22</f>
        <v>#VALUE!</v>
      </c>
    </row>
    <row r="25" spans="4:23" ht="30" customHeight="1" x14ac:dyDescent="0.25">
      <c r="D25" s="214" t="e" vm="527">
        <f>ImgDatabase!P23</f>
        <v>#VALUE!</v>
      </c>
      <c r="G25" s="214" t="e" vm="30">
        <f>ImgDatabase!T23</f>
        <v>#VALUE!</v>
      </c>
      <c r="Q25" s="214" t="e" vm="225">
        <f>ImgDatabase!AF23</f>
        <v>#VALUE!</v>
      </c>
      <c r="T25" s="214" t="e" vm="495">
        <f>ImgDatabase!AI23</f>
        <v>#VALUE!</v>
      </c>
      <c r="W25" s="214" t="e" vm="780">
        <f>ImgDatabase!AL23</f>
        <v>#VALUE!</v>
      </c>
    </row>
    <row r="26" spans="4:23" ht="30" customHeight="1" x14ac:dyDescent="0.25">
      <c r="D26" s="214" t="e" vm="29">
        <f>ImgDatabase!P24</f>
        <v>#VALUE!</v>
      </c>
      <c r="G26" s="214" t="e" vm="440">
        <f>ImgDatabase!T24</f>
        <v>#VALUE!</v>
      </c>
      <c r="Q26" s="214" t="e" vm="781">
        <f>ImgDatabase!AF24</f>
        <v>#VALUE!</v>
      </c>
      <c r="T26" s="214" t="e" vm="489">
        <f>ImgDatabase!AI24</f>
        <v>#VALUE!</v>
      </c>
      <c r="W26" s="214" t="e" vm="782">
        <f>ImgDatabase!AL24</f>
        <v>#VALUE!</v>
      </c>
    </row>
    <row r="27" spans="4:23" ht="30" customHeight="1" x14ac:dyDescent="0.25">
      <c r="D27" s="214" t="e" vm="224">
        <f>ImgDatabase!P25</f>
        <v>#VALUE!</v>
      </c>
      <c r="G27" s="214" t="e" vm="93">
        <f>ImgDatabase!T25</f>
        <v>#VALUE!</v>
      </c>
      <c r="Q27" s="214" t="e" vm="783">
        <f>ImgDatabase!AF25</f>
        <v>#VALUE!</v>
      </c>
      <c r="T27" s="214" t="e" vm="272">
        <f>ImgDatabase!AI25</f>
        <v>#VALUE!</v>
      </c>
      <c r="W27" s="214" t="e" vm="784">
        <f>ImgDatabase!AL25</f>
        <v>#VALUE!</v>
      </c>
    </row>
    <row r="28" spans="4:23" ht="30" customHeight="1" x14ac:dyDescent="0.25">
      <c r="D28" s="214" t="e" vm="72">
        <f>ImgDatabase!P26</f>
        <v>#VALUE!</v>
      </c>
      <c r="G28" s="214" t="e" vm="519">
        <f>ImgDatabase!T26</f>
        <v>#VALUE!</v>
      </c>
      <c r="Q28" s="214" t="e" vm="74">
        <f>ImgDatabase!AF26</f>
        <v>#VALUE!</v>
      </c>
      <c r="T28" s="214" t="e" vm="561">
        <f>ImgDatabase!AI26</f>
        <v>#VALUE!</v>
      </c>
      <c r="W28" s="214" t="e" vm="135">
        <f>ImgDatabase!AL26</f>
        <v>#VALUE!</v>
      </c>
    </row>
    <row r="29" spans="4:23" ht="30" customHeight="1" x14ac:dyDescent="0.25">
      <c r="D29" s="214" t="e" vm="518">
        <f>ImgDatabase!P27</f>
        <v>#VALUE!</v>
      </c>
      <c r="G29" s="214" t="e" vm="73">
        <f>ImgDatabase!T27</f>
        <v>#VALUE!</v>
      </c>
      <c r="Q29" s="214" t="e" vm="785">
        <f>ImgDatabase!AF27</f>
        <v>#VALUE!</v>
      </c>
      <c r="T29" s="214" t="e" vm="419">
        <f>ImgDatabase!AI27</f>
        <v>#VALUE!</v>
      </c>
      <c r="W29" s="214" t="e" vm="786">
        <f>ImgDatabase!AL27</f>
        <v>#VALUE!</v>
      </c>
    </row>
    <row r="30" spans="4:23" ht="30" customHeight="1" x14ac:dyDescent="0.25">
      <c r="D30" s="214" t="e" vm="439">
        <f>ImgDatabase!P28</f>
        <v>#VALUE!</v>
      </c>
      <c r="G30" s="214" t="e" vm="594">
        <f>ImgDatabase!T28</f>
        <v>#VALUE!</v>
      </c>
      <c r="Q30" s="214" t="e" vm="787">
        <f>ImgDatabase!AF28</f>
        <v>#VALUE!</v>
      </c>
      <c r="T30" s="214" t="e" vm="443">
        <f>ImgDatabase!AI28</f>
        <v>#VALUE!</v>
      </c>
      <c r="W30" s="214" t="e" vm="788">
        <f>ImgDatabase!AL28</f>
        <v>#VALUE!</v>
      </c>
    </row>
    <row r="31" spans="4:23" ht="30" customHeight="1" x14ac:dyDescent="0.25">
      <c r="D31" s="214" t="e" vm="565">
        <f>ImgDatabase!P29</f>
        <v>#VALUE!</v>
      </c>
      <c r="G31" s="214" t="e" vm="114">
        <f>ImgDatabase!T29</f>
        <v>#VALUE!</v>
      </c>
      <c r="Q31" s="214" t="e" vm="182">
        <f>ImgDatabase!AF29</f>
        <v>#VALUE!</v>
      </c>
      <c r="T31" s="214" t="e" vm="520">
        <f>ImgDatabase!AI29</f>
        <v>#VALUE!</v>
      </c>
      <c r="W31" s="214" t="e" vm="789">
        <f>ImgDatabase!AL29</f>
        <v>#VALUE!</v>
      </c>
    </row>
    <row r="32" spans="4:23" ht="30" customHeight="1" x14ac:dyDescent="0.25">
      <c r="D32" s="214" t="e" vm="92">
        <f>ImgDatabase!P30</f>
        <v>#VALUE!</v>
      </c>
      <c r="G32" s="214" t="e" vm="790">
        <f>ImgDatabase!T30</f>
        <v>#VALUE!</v>
      </c>
      <c r="Q32" s="214" t="e" vm="791">
        <f>ImgDatabase!AF30</f>
        <v>#VALUE!</v>
      </c>
      <c r="T32" s="214" t="e" vm="384">
        <f>ImgDatabase!AI30</f>
        <v>#VALUE!</v>
      </c>
      <c r="W32" s="214" t="e" vm="168">
        <f>ImgDatabase!AL30</f>
        <v>#VALUE!</v>
      </c>
    </row>
    <row r="33" spans="4:23" ht="30" customHeight="1" x14ac:dyDescent="0.25">
      <c r="D33" s="214" t="e" vm="113">
        <f>ImgDatabase!P31</f>
        <v>#VALUE!</v>
      </c>
      <c r="G33" s="214" t="e" vm="792">
        <f>ImgDatabase!T31</f>
        <v>#VALUE!</v>
      </c>
      <c r="Q33" s="214" t="e" vm="793">
        <f>ImgDatabase!AF31</f>
        <v>#VALUE!</v>
      </c>
      <c r="T33" s="214" t="e" vm="184">
        <f>ImgDatabase!AI31</f>
        <v>#VALUE!</v>
      </c>
      <c r="W33" s="214" t="e" vm="794">
        <f>ImgDatabase!AL31</f>
        <v>#VALUE!</v>
      </c>
    </row>
    <row r="34" spans="4:23" ht="30" customHeight="1" x14ac:dyDescent="0.25">
      <c r="D34" s="214" t="e" vm="449">
        <f>ImgDatabase!P32</f>
        <v>#VALUE!</v>
      </c>
      <c r="G34" s="214" t="e" vm="553">
        <f>ImgDatabase!T32</f>
        <v>#VALUE!</v>
      </c>
      <c r="Q34" s="214" t="e" vm="31">
        <f>ImgDatabase!AF32</f>
        <v>#VALUE!</v>
      </c>
      <c r="T34" s="214" t="e" vm="33">
        <f>ImgDatabase!AI32</f>
        <v>#VALUE!</v>
      </c>
      <c r="W34" s="214" t="e" vm="795">
        <f>ImgDatabase!AL32</f>
        <v>#VALUE!</v>
      </c>
    </row>
    <row r="35" spans="4:23" ht="30" customHeight="1" x14ac:dyDescent="0.25">
      <c r="D35" s="214" t="e" vm="552">
        <f>ImgDatabase!P33</f>
        <v>#VALUE!</v>
      </c>
      <c r="Q35" s="214" t="e" vm="796">
        <f>ImgDatabase!AF33</f>
        <v>#VALUE!</v>
      </c>
      <c r="T35" s="214" t="e" vm="425">
        <f>ImgDatabase!AI33</f>
        <v>#VALUE!</v>
      </c>
      <c r="W35" s="214" t="e" vm="797">
        <f>ImgDatabase!AL33</f>
        <v>#VALUE!</v>
      </c>
    </row>
    <row r="36" spans="4:23" ht="30" customHeight="1" x14ac:dyDescent="0.25">
      <c r="Q36" s="214" t="e" vm="798">
        <f>ImgDatabase!AF34</f>
        <v>#VALUE!</v>
      </c>
      <c r="T36" s="214" t="e" vm="608">
        <f>ImgDatabase!AI34</f>
        <v>#VALUE!</v>
      </c>
      <c r="W36" s="214" t="e" vm="12">
        <f>ImgDatabase!AL34</f>
        <v>#VALUE!</v>
      </c>
    </row>
    <row r="37" spans="4:23" ht="30" customHeight="1" x14ac:dyDescent="0.25">
      <c r="Q37" s="214" t="e" vm="404">
        <f>ImgDatabase!AF35</f>
        <v>#VALUE!</v>
      </c>
      <c r="T37" s="214" t="e" vm="152">
        <f>ImgDatabase!AI35</f>
        <v>#VALUE!</v>
      </c>
    </row>
    <row r="38" spans="4:23" ht="30" customHeight="1" x14ac:dyDescent="0.25">
      <c r="Q38" s="214" t="e" vm="799">
        <f>ImgDatabase!AF36</f>
        <v>#VALUE!</v>
      </c>
      <c r="T38" s="214" t="e" vm="350">
        <f>ImgDatabase!AI36</f>
        <v>#VALUE!</v>
      </c>
    </row>
    <row r="39" spans="4:23" ht="30" customHeight="1" x14ac:dyDescent="0.25">
      <c r="Q39" s="214" t="e" vm="800">
        <f>ImgDatabase!AF37</f>
        <v>#VALUE!</v>
      </c>
      <c r="T39" s="214" t="e" vm="374">
        <f>ImgDatabase!AI37</f>
        <v>#VALUE!</v>
      </c>
    </row>
    <row r="40" spans="4:23" ht="30" customHeight="1" x14ac:dyDescent="0.25">
      <c r="Q40" s="214" t="e" vm="270">
        <f>ImgDatabase!AF38</f>
        <v>#VALUE!</v>
      </c>
      <c r="T40" s="214" t="e" vm="532">
        <f>ImgDatabase!AI38</f>
        <v>#VALUE!</v>
      </c>
    </row>
    <row r="41" spans="4:23" ht="30" customHeight="1" x14ac:dyDescent="0.25">
      <c r="Q41" s="214" t="e" vm="801">
        <f>ImgDatabase!AF39</f>
        <v>#VALUE!</v>
      </c>
      <c r="T41" s="214" t="e" vm="457">
        <f>ImgDatabase!AI39</f>
        <v>#VALUE!</v>
      </c>
    </row>
    <row r="42" spans="4:23" ht="30" customHeight="1" x14ac:dyDescent="0.25">
      <c r="Q42" s="214" t="e" vm="802">
        <f>ImgDatabase!AF40</f>
        <v>#VALUE!</v>
      </c>
      <c r="T42" s="214" t="e" vm="591">
        <f>ImgDatabase!AI40</f>
        <v>#VALUE!</v>
      </c>
    </row>
    <row r="43" spans="4:23" ht="30" customHeight="1" x14ac:dyDescent="0.25">
      <c r="Q43" s="214" t="e" vm="94">
        <f>ImgDatabase!AF41</f>
        <v>#VALUE!</v>
      </c>
      <c r="T43" s="214" t="e" vm="451">
        <f>ImgDatabase!AI41</f>
        <v>#VALUE!</v>
      </c>
    </row>
    <row r="44" spans="4:23" ht="30" customHeight="1" x14ac:dyDescent="0.25">
      <c r="Q44" s="214" t="e" vm="803">
        <f>ImgDatabase!AF42</f>
        <v>#VALUE!</v>
      </c>
      <c r="T44" s="214" t="e" vm="537">
        <f>ImgDatabase!AI42</f>
        <v>#VALUE!</v>
      </c>
    </row>
    <row r="45" spans="4:23" ht="30" customHeight="1" x14ac:dyDescent="0.25">
      <c r="Q45" s="214" t="e" vm="804">
        <f>ImgDatabase!AF43</f>
        <v>#VALUE!</v>
      </c>
      <c r="T45" s="214" t="e" vm="282">
        <f>ImgDatabase!AI43</f>
        <v>#VALUE!</v>
      </c>
    </row>
    <row r="46" spans="4:23" ht="30" customHeight="1" x14ac:dyDescent="0.25">
      <c r="Q46" s="214" t="e" vm="259">
        <f>ImgDatabase!AF44</f>
        <v>#VALUE!</v>
      </c>
      <c r="T46" s="214" t="e" vm="55">
        <f>ImgDatabase!AI44</f>
        <v>#VALUE!</v>
      </c>
    </row>
    <row r="47" spans="4:23" ht="30" customHeight="1" x14ac:dyDescent="0.25">
      <c r="Q47" s="214" t="e" vm="805">
        <f>ImgDatabase!AF45</f>
        <v>#VALUE!</v>
      </c>
      <c r="T47" s="214" t="e" vm="541">
        <f>ImgDatabase!AI45</f>
        <v>#VALUE!</v>
      </c>
    </row>
    <row r="48" spans="4:23" ht="30" customHeight="1" x14ac:dyDescent="0.25">
      <c r="Q48" s="214" t="e" vm="806">
        <f>ImgDatabase!AF46</f>
        <v>#VALUE!</v>
      </c>
    </row>
    <row r="49" spans="17:17" ht="30" customHeight="1" x14ac:dyDescent="0.25">
      <c r="Q49" s="214" t="e" vm="441">
        <f>ImgDatabase!AF47</f>
        <v>#VALUE!</v>
      </c>
    </row>
    <row r="50" spans="17:17" ht="30" customHeight="1" x14ac:dyDescent="0.25"/>
    <row r="51" spans="17:17" ht="30" customHeight="1" x14ac:dyDescent="0.25"/>
    <row r="52" spans="17:17" ht="30" customHeight="1" x14ac:dyDescent="0.25"/>
    <row r="53" spans="17:17" ht="30" customHeight="1" x14ac:dyDescent="0.25"/>
    <row r="54" spans="17:17" ht="30" customHeight="1" x14ac:dyDescent="0.25"/>
    <row r="55" spans="17:17" ht="30" customHeight="1" x14ac:dyDescent="0.25"/>
    <row r="56" spans="17:17" ht="30" customHeight="1" x14ac:dyDescent="0.25"/>
    <row r="57" spans="17:17" ht="30" customHeight="1" x14ac:dyDescent="0.25"/>
    <row r="58" spans="17:17" ht="30" customHeight="1" x14ac:dyDescent="0.25"/>
    <row r="59" spans="17:17" ht="30" customHeight="1" x14ac:dyDescent="0.25"/>
    <row r="60" spans="17:17" ht="30" customHeight="1" x14ac:dyDescent="0.25"/>
    <row r="61" spans="17:17" ht="30" customHeight="1" x14ac:dyDescent="0.25"/>
    <row r="62" spans="17:17" ht="30" customHeight="1" x14ac:dyDescent="0.25"/>
    <row r="63" spans="17:17" ht="30" customHeight="1" x14ac:dyDescent="0.25"/>
    <row r="64" spans="17:17" ht="30" customHeight="1" x14ac:dyDescent="0.25"/>
    <row r="65" ht="30" customHeight="1" x14ac:dyDescent="0.25"/>
    <row r="66" ht="30" customHeight="1" x14ac:dyDescent="0.25"/>
    <row r="67" ht="30" customHeight="1" x14ac:dyDescent="0.25"/>
    <row r="68" ht="30" customHeight="1" x14ac:dyDescent="0.25"/>
    <row r="69" ht="30" customHeight="1" x14ac:dyDescent="0.25"/>
    <row r="70" ht="30" customHeight="1" x14ac:dyDescent="0.25"/>
  </sheetData>
  <mergeCells count="9">
    <mergeCell ref="A1:AA1"/>
    <mergeCell ref="W3:X3"/>
    <mergeCell ref="Z3:AA3"/>
    <mergeCell ref="D3:E3"/>
    <mergeCell ref="Q3:R3"/>
    <mergeCell ref="G3:H3"/>
    <mergeCell ref="J3:O3"/>
    <mergeCell ref="A3:B3"/>
    <mergeCell ref="T3:U3"/>
  </mergeCells>
  <phoneticPr fontId="4" type="noConversion"/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18B10-F5D5-42B4-9757-432F63EDDFF5}">
  <sheetPr codeName="Sheet11">
    <tabColor rgb="FF00B0F0"/>
  </sheetPr>
  <dimension ref="A1:BX113"/>
  <sheetViews>
    <sheetView topLeftCell="A27" workbookViewId="0">
      <selection activeCell="G36" sqref="G36"/>
    </sheetView>
    <sheetView topLeftCell="AT1" workbookViewId="1">
      <selection activeCell="BD4" sqref="BD4"/>
    </sheetView>
  </sheetViews>
  <sheetFormatPr defaultColWidth="9.140625" defaultRowHeight="15" x14ac:dyDescent="0.25"/>
  <cols>
    <col min="1" max="1" width="4.85546875" style="31" customWidth="1"/>
    <col min="2" max="2" width="7.140625" style="31" customWidth="1"/>
    <col min="3" max="3" width="20.28515625" style="31" customWidth="1"/>
    <col min="4" max="4" width="19.42578125" style="29" hidden="1" customWidth="1"/>
    <col min="5" max="5" width="9.140625" style="29" customWidth="1"/>
    <col min="6" max="6" width="9.42578125" style="29" customWidth="1"/>
    <col min="7" max="7" width="9.85546875" style="29" customWidth="1"/>
    <col min="8" max="11" width="6.42578125" style="29" customWidth="1"/>
    <col min="12" max="12" width="1.42578125" style="29" customWidth="1"/>
    <col min="13" max="16" width="6.42578125" style="29" customWidth="1"/>
    <col min="17" max="17" width="1.42578125" style="29" customWidth="1"/>
    <col min="18" max="18" width="8" style="29" customWidth="1"/>
    <col min="19" max="19" width="1.42578125" style="29" customWidth="1"/>
    <col min="20" max="20" width="11.28515625" style="29" customWidth="1"/>
    <col min="21" max="21" width="8.7109375" style="29" customWidth="1"/>
    <col min="22" max="22" width="1.42578125" style="29" customWidth="1"/>
    <col min="23" max="23" width="10" style="29" customWidth="1"/>
    <col min="24" max="26" width="6.5703125" style="29" customWidth="1"/>
    <col min="27" max="27" width="9.7109375" style="29" hidden="1" customWidth="1"/>
    <col min="28" max="29" width="9.5703125" style="29" hidden="1" customWidth="1"/>
    <col min="30" max="32" width="10.28515625" style="29" hidden="1" customWidth="1"/>
    <col min="33" max="35" width="11.5703125" style="29" hidden="1" customWidth="1"/>
    <col min="36" max="36" width="1.42578125" style="29" customWidth="1"/>
    <col min="37" max="37" width="11.42578125" style="29" customWidth="1"/>
    <col min="38" max="38" width="8.7109375" style="29" customWidth="1"/>
    <col min="39" max="41" width="9.42578125" style="29" hidden="1" customWidth="1"/>
    <col min="42" max="42" width="1.42578125" style="29" customWidth="1"/>
    <col min="43" max="43" width="11.140625" style="29" customWidth="1"/>
    <col min="44" max="44" width="8.7109375" style="29" customWidth="1"/>
    <col min="45" max="45" width="1.42578125" style="29" customWidth="1"/>
    <col min="46" max="46" width="8.85546875" style="29" customWidth="1"/>
    <col min="47" max="50" width="10.85546875" style="29" customWidth="1"/>
    <col min="51" max="51" width="1.42578125" style="29" customWidth="1"/>
    <col min="52" max="52" width="9.42578125" style="29" customWidth="1"/>
    <col min="53" max="58" width="6.140625" style="29" customWidth="1"/>
    <col min="59" max="67" width="6.140625" style="29" hidden="1" customWidth="1"/>
    <col min="68" max="70" width="8.28515625" style="31" customWidth="1"/>
    <col min="71" max="71" width="1.42578125" style="29" customWidth="1"/>
    <col min="72" max="76" width="11.140625" style="29" customWidth="1"/>
    <col min="77" max="16384" width="9.140625" style="29"/>
  </cols>
  <sheetData>
    <row r="1" spans="1:76" s="37" customFormat="1" ht="33.75" customHeight="1" thickBot="1" x14ac:dyDescent="0.3">
      <c r="A1" s="189" t="s">
        <v>693</v>
      </c>
      <c r="B1" s="190"/>
      <c r="C1" s="190"/>
      <c r="D1" s="190"/>
      <c r="E1" s="190"/>
      <c r="F1" s="190"/>
      <c r="G1" s="191"/>
      <c r="H1" s="194" t="s">
        <v>694</v>
      </c>
      <c r="I1" s="194"/>
      <c r="J1" s="194"/>
      <c r="K1" s="188"/>
      <c r="M1" s="187" t="s">
        <v>695</v>
      </c>
      <c r="N1" s="194"/>
      <c r="O1" s="194"/>
      <c r="P1" s="188"/>
      <c r="R1" s="76" t="e" vm="719">
        <f>ImgDatabase!$A$3</f>
        <v>#VALUE!</v>
      </c>
      <c r="T1" s="187" t="s">
        <v>0</v>
      </c>
      <c r="U1" s="188"/>
      <c r="W1" s="187" t="s">
        <v>71</v>
      </c>
      <c r="X1" s="194"/>
      <c r="Y1" s="194"/>
      <c r="Z1" s="188"/>
      <c r="AA1" s="187" t="s">
        <v>696</v>
      </c>
      <c r="AB1" s="194"/>
      <c r="AC1" s="194"/>
      <c r="AD1" s="194"/>
      <c r="AE1" s="194"/>
      <c r="AF1" s="194"/>
      <c r="AG1" s="194"/>
      <c r="AH1" s="194"/>
      <c r="AI1" s="188"/>
      <c r="AK1" s="187" t="s">
        <v>39</v>
      </c>
      <c r="AL1" s="188"/>
      <c r="AM1" s="192" t="s">
        <v>697</v>
      </c>
      <c r="AN1" s="192"/>
      <c r="AO1" s="193"/>
      <c r="AQ1" s="187" t="s">
        <v>698</v>
      </c>
      <c r="AR1" s="188"/>
      <c r="AT1" s="197" t="s">
        <v>699</v>
      </c>
      <c r="AU1" s="197"/>
      <c r="AV1" s="197"/>
      <c r="AW1" s="197"/>
      <c r="AX1" s="197"/>
      <c r="AZ1" s="187" t="s">
        <v>700</v>
      </c>
      <c r="BA1" s="194"/>
      <c r="BB1" s="194"/>
      <c r="BC1" s="194"/>
      <c r="BD1" s="194"/>
      <c r="BE1" s="194"/>
      <c r="BF1" s="188"/>
      <c r="BG1" s="197" t="s">
        <v>701</v>
      </c>
      <c r="BH1" s="197"/>
      <c r="BI1" s="197"/>
      <c r="BJ1" s="197"/>
      <c r="BK1" s="197"/>
      <c r="BL1" s="197"/>
      <c r="BM1" s="197"/>
      <c r="BN1" s="197"/>
      <c r="BO1" s="197"/>
      <c r="BP1" s="187" t="s">
        <v>702</v>
      </c>
      <c r="BQ1" s="194"/>
      <c r="BR1" s="188"/>
      <c r="BT1" s="195" t="s">
        <v>703</v>
      </c>
      <c r="BU1" s="196"/>
      <c r="BV1" s="196"/>
      <c r="BW1" s="43" t="e" vm="724">
        <f>ImgDatabase!$AO$3</f>
        <v>#VALUE!</v>
      </c>
      <c r="BX1" s="96"/>
    </row>
    <row r="2" spans="1:76" s="38" customFormat="1" ht="45" customHeight="1" thickBot="1" x14ac:dyDescent="0.3">
      <c r="A2" s="117" t="s">
        <v>704</v>
      </c>
      <c r="B2" s="77" t="s">
        <v>79</v>
      </c>
      <c r="C2" s="77" t="s">
        <v>24</v>
      </c>
      <c r="D2" s="77" t="s">
        <v>705</v>
      </c>
      <c r="E2" s="77" t="s">
        <v>29</v>
      </c>
      <c r="F2" s="77" t="s">
        <v>80</v>
      </c>
      <c r="G2" s="118" t="s">
        <v>706</v>
      </c>
      <c r="H2" s="59" t="s">
        <v>707</v>
      </c>
      <c r="I2" s="45" t="s">
        <v>708</v>
      </c>
      <c r="J2" s="45" t="s">
        <v>709</v>
      </c>
      <c r="K2" s="46" t="s">
        <v>710</v>
      </c>
      <c r="L2" s="37"/>
      <c r="M2" s="59" t="s">
        <v>707</v>
      </c>
      <c r="N2" s="45" t="s">
        <v>708</v>
      </c>
      <c r="O2" s="45" t="s">
        <v>709</v>
      </c>
      <c r="P2" s="46" t="s">
        <v>710</v>
      </c>
      <c r="Q2" s="37"/>
      <c r="R2" s="77" t="s">
        <v>711</v>
      </c>
      <c r="S2" s="37"/>
      <c r="T2" s="58" t="s">
        <v>712</v>
      </c>
      <c r="U2" s="46" t="s">
        <v>713</v>
      </c>
      <c r="V2" s="37"/>
      <c r="W2" s="59" t="s">
        <v>714</v>
      </c>
      <c r="X2" s="45" t="s">
        <v>715</v>
      </c>
      <c r="Y2" s="45" t="s">
        <v>716</v>
      </c>
      <c r="Z2" s="46" t="s">
        <v>717</v>
      </c>
      <c r="AA2" s="44" t="s">
        <v>718</v>
      </c>
      <c r="AB2" s="45" t="s">
        <v>719</v>
      </c>
      <c r="AC2" s="45" t="s">
        <v>720</v>
      </c>
      <c r="AD2" s="45" t="s">
        <v>721</v>
      </c>
      <c r="AE2" s="45" t="s">
        <v>722</v>
      </c>
      <c r="AF2" s="45" t="s">
        <v>723</v>
      </c>
      <c r="AG2" s="45" t="s">
        <v>724</v>
      </c>
      <c r="AH2" s="45" t="s">
        <v>725</v>
      </c>
      <c r="AI2" s="46" t="s">
        <v>726</v>
      </c>
      <c r="AJ2" s="37"/>
      <c r="AK2" s="58" t="s">
        <v>712</v>
      </c>
      <c r="AL2" s="46" t="s">
        <v>713</v>
      </c>
      <c r="AM2" s="45" t="s">
        <v>708</v>
      </c>
      <c r="AN2" s="45" t="s">
        <v>709</v>
      </c>
      <c r="AO2" s="46" t="s">
        <v>710</v>
      </c>
      <c r="AP2" s="37"/>
      <c r="AQ2" s="59" t="s">
        <v>727</v>
      </c>
      <c r="AR2" s="46" t="s">
        <v>713</v>
      </c>
      <c r="AS2" s="37"/>
      <c r="AT2" s="59" t="s">
        <v>728</v>
      </c>
      <c r="AU2" s="45" t="s">
        <v>56</v>
      </c>
      <c r="AV2" s="45" t="s">
        <v>55</v>
      </c>
      <c r="AW2" s="45" t="s">
        <v>54</v>
      </c>
      <c r="AX2" s="46" t="s">
        <v>53</v>
      </c>
      <c r="AY2" s="37"/>
      <c r="AZ2" s="44" t="s">
        <v>729</v>
      </c>
      <c r="BA2" s="44" t="s">
        <v>944</v>
      </c>
      <c r="BB2" s="45" t="s">
        <v>945</v>
      </c>
      <c r="BC2" s="46" t="s">
        <v>946</v>
      </c>
      <c r="BD2" s="44" t="s">
        <v>947</v>
      </c>
      <c r="BE2" s="45" t="s">
        <v>948</v>
      </c>
      <c r="BF2" s="46" t="s">
        <v>949</v>
      </c>
      <c r="BG2" s="44" t="s">
        <v>730</v>
      </c>
      <c r="BH2" s="45" t="s">
        <v>731</v>
      </c>
      <c r="BI2" s="45" t="s">
        <v>732</v>
      </c>
      <c r="BJ2" s="45" t="s">
        <v>733</v>
      </c>
      <c r="BK2" s="45" t="s">
        <v>734</v>
      </c>
      <c r="BL2" s="45" t="s">
        <v>735</v>
      </c>
      <c r="BM2" s="45" t="s">
        <v>736</v>
      </c>
      <c r="BN2" s="45" t="s">
        <v>737</v>
      </c>
      <c r="BO2" s="46" t="s">
        <v>738</v>
      </c>
      <c r="BP2" s="44" t="s">
        <v>59</v>
      </c>
      <c r="BQ2" s="45" t="s">
        <v>58</v>
      </c>
      <c r="BR2" s="46" t="s">
        <v>57</v>
      </c>
      <c r="BS2" s="37"/>
      <c r="BT2" s="44" t="s">
        <v>739</v>
      </c>
      <c r="BU2" s="45" t="s">
        <v>740</v>
      </c>
      <c r="BV2" s="45" t="s">
        <v>741</v>
      </c>
      <c r="BW2" s="45" t="s">
        <v>742</v>
      </c>
      <c r="BX2" s="46" t="s">
        <v>743</v>
      </c>
    </row>
    <row r="3" spans="1:76" ht="30" customHeight="1" x14ac:dyDescent="0.25">
      <c r="A3" s="47">
        <f>SUBTOTAL(3,$D$3:Character[[#This Row],[NameHelper]])</f>
        <v>1</v>
      </c>
      <c r="B3" s="48" t="e" vm="807">
        <f>IFERROR(INDEX(ImgDatabase!$D:$D, MATCH(Character[[#This Row],[NameHelper]], ImgDatabase!$E:$E, 0)), "")</f>
        <v>#VALUE!</v>
      </c>
      <c r="C3" s="49" t="s">
        <v>86</v>
      </c>
      <c r="D3" s="49" t="s">
        <v>86</v>
      </c>
      <c r="E3" s="50" t="e" vm="6">
        <f>IFERROR(INDEX(ImgDatabase!$G:$G, MATCH(Character[[#This Row],[NameHelper]], ImgDatabase!$E:$E, 0)), "")</f>
        <v>#VALUE!</v>
      </c>
      <c r="F3" s="50" t="e" vm="5">
        <f>IFERROR(INDEX(CharacterDetailsImg[Weapon Type], MATCH(Character[[#This Row],[NameHelper]], CharacterDetailsImg[Name], 0)), "")</f>
        <v>#VALUE!</v>
      </c>
      <c r="G3" s="51">
        <f>IFERROR(INDEX(CharacterDetailsImg[Released Version], MATCH(Character[[#This Row],[NameHelper]], CharacterDetailsImg[Name], 0)), "")</f>
        <v>1.2</v>
      </c>
      <c r="H3" s="108">
        <v>90</v>
      </c>
      <c r="I3" s="29">
        <v>1</v>
      </c>
      <c r="J3" s="29">
        <v>9</v>
      </c>
      <c r="K3" s="40">
        <v>9</v>
      </c>
      <c r="M3" s="115">
        <v>81</v>
      </c>
      <c r="N3" s="50">
        <v>1</v>
      </c>
      <c r="O3" s="50">
        <v>9</v>
      </c>
      <c r="P3" s="62">
        <v>9</v>
      </c>
      <c r="R3" s="7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3" s="115" t="e" vm="7">
        <f>IFERROR(INDEX(ImgDatabase!$I:$I, MATCH(Character[[#This Row],[NameHelper]], ImgDatabase!$E:$E, 0)), "")</f>
        <v>#VALUE!</v>
      </c>
      <c r="U3" s="60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0</v>
      </c>
      <c r="W3" s="63" t="e" vm="9">
        <f>IFERROR(INDEX(ImgDatabase!$K:$K, MATCH(Character[[#This Row],[NameHelper]], ImgDatabase!$E:$E, 0)), "")</f>
        <v>#VALUE!</v>
      </c>
      <c r="X3" s="69">
        <f t="shared" ref="X3:X34" si="0">AA3+AD3+AG3</f>
        <v>0</v>
      </c>
      <c r="Y3" s="69">
        <f t="shared" ref="Y3:Y34" si="1">AB3+AE3+AH3</f>
        <v>0</v>
      </c>
      <c r="Z3" s="70">
        <f t="shared" ref="Z3:Z34" si="2">AC3+AF3+AI3</f>
        <v>0</v>
      </c>
      <c r="AA3" s="69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3" s="69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3" s="69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3" s="69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0</v>
      </c>
      <c r="AE3" s="69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0</v>
      </c>
      <c r="AF3" s="69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0</v>
      </c>
      <c r="AG3" s="69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H3" s="69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I3" s="70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K3" s="111" t="e" vm="8">
        <f>IFERROR(INDEX(ImgDatabase!$J:$J, MATCH(Character[[#This Row],[NameHelper]], ImgDatabase!$E:$E, 0)), "")</f>
        <v>#VALUE!</v>
      </c>
      <c r="AL3" s="70">
        <f>SUM(WeeklyBoss[[#This Row],[NA]:[Burst]])</f>
        <v>0</v>
      </c>
      <c r="AM3" s="81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3" s="81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3" s="60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3" s="110" t="e" vm="11">
        <f>IFERROR(INDEX(ImgDatabase!$M:$M, MATCH(Character[[#This Row],[NameHelper]], ImgDatabase!$E:$E, 0)), "")</f>
        <v>#VALUE!</v>
      </c>
      <c r="AR3" s="60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3" s="107" t="e" vm="12">
        <f>IFERROR(INDEX(ImgDatabase!$N:$N, MATCH(Character[[#This Row],[NameHelper]], ImgDatabase!$E:$E, 0)), "")</f>
        <v>#VALUE!</v>
      </c>
      <c r="AU3" s="2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3" s="2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3" s="2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3" s="2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3" s="27" t="e" vm="10">
        <f>IFERROR(INDEX(ImgDatabase!$L:$L, MATCH(Character[[#This Row],[NameHelper]], ImgDatabase!$E:$E, 0)), "")</f>
        <v>#VALUE!</v>
      </c>
      <c r="BA3" s="8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3" s="2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3" s="61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3" s="82">
        <f t="shared" ref="BD3:BD34" si="3">SUM(BG3,BJ3,BM3)</f>
        <v>0</v>
      </c>
      <c r="BE3" s="26">
        <f t="shared" ref="BE3:BE34" si="4">SUM(BH3,BK3,BN3)</f>
        <v>0</v>
      </c>
      <c r="BF3" s="73">
        <f t="shared" ref="BF3:BF34" si="5">SUM(BI3,BL3,BO3)</f>
        <v>0</v>
      </c>
      <c r="BG3" s="82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3" s="26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3" s="26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3" s="26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3" s="26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3" s="26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3" s="26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3" s="26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3" s="73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3" s="89">
        <f t="shared" ref="BP3:BP34" si="6">SUM(BA3,BD3)</f>
        <v>0</v>
      </c>
      <c r="BQ3" s="32">
        <f t="shared" ref="BQ3:BQ34" si="7">SUM(BB3,BE3)</f>
        <v>0</v>
      </c>
      <c r="BR3" s="90">
        <f t="shared" ref="BR3:BR34" si="8">SUM(BC3,BF3)</f>
        <v>0</v>
      </c>
      <c r="BT3" s="97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3" s="98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3" s="98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3" s="98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3" s="99">
        <f>SUM(Table40[[#This Row],[Ascension
Cost]:[Talent Cost
(Burst)]])</f>
        <v>0</v>
      </c>
    </row>
    <row r="4" spans="1:76" ht="30" customHeight="1" x14ac:dyDescent="0.25">
      <c r="A4" s="52">
        <f>SUBTOTAL(3,$D$3:Character[[#This Row],[NameHelper]])</f>
        <v>2</v>
      </c>
      <c r="B4" s="31" t="e" vm="808">
        <f>IFERROR(INDEX(ImgDatabase!$D:$D, MATCH(Character[[#This Row],[NameHelper]], ImgDatabase!$E:$E, 0)), "")</f>
        <v>#VALUE!</v>
      </c>
      <c r="C4" s="30" t="s">
        <v>100</v>
      </c>
      <c r="D4" s="30" t="s">
        <v>100</v>
      </c>
      <c r="E4" s="29" t="e" vm="28">
        <f>IFERROR(INDEX(ImgDatabase!$G:$G, MATCH(Character[[#This Row],[NameHelper]], ImgDatabase!$E:$E, 0)), "")</f>
        <v>#VALUE!</v>
      </c>
      <c r="F4" s="29" t="e" vm="5">
        <f>IFERROR(INDEX(CharacterDetailsImg[Weapon Type], MATCH(Character[[#This Row],[NameHelper]], CharacterDetailsImg[Name], 0)), "")</f>
        <v>#VALUE!</v>
      </c>
      <c r="G4" s="53">
        <f>IFERROR(INDEX(CharacterDetailsImg[Released Version], MATCH(Character[[#This Row],[NameHelper]], CharacterDetailsImg[Name], 0)), "")</f>
        <v>3.4</v>
      </c>
      <c r="H4" s="108">
        <v>1</v>
      </c>
      <c r="I4" s="29">
        <v>0</v>
      </c>
      <c r="J4" s="29">
        <v>0</v>
      </c>
      <c r="K4" s="40">
        <v>0</v>
      </c>
      <c r="M4" s="108">
        <v>81</v>
      </c>
      <c r="N4" s="29">
        <v>1</v>
      </c>
      <c r="O4" s="29">
        <v>9</v>
      </c>
      <c r="P4" s="40">
        <v>9</v>
      </c>
      <c r="R4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257</v>
      </c>
      <c r="T4" s="108" t="e" vm="29">
        <f>IFERROR(INDEX(ImgDatabase!$I:$I, MATCH(Character[[#This Row],[NameHelper]], ImgDatabase!$E:$E, 0)), "")</f>
        <v>#VALUE!</v>
      </c>
      <c r="U4" s="40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46</v>
      </c>
      <c r="W4" s="64" t="e" vm="31">
        <f>IFERROR(INDEX(ImgDatabase!$K:$K, MATCH(Character[[#This Row],[NameHelper]], ImgDatabase!$E:$E, 0)), "")</f>
        <v>#VALUE!</v>
      </c>
      <c r="X4" s="28">
        <f t="shared" si="0"/>
        <v>0</v>
      </c>
      <c r="Y4" s="28">
        <f t="shared" si="1"/>
        <v>0</v>
      </c>
      <c r="Z4" s="72">
        <f t="shared" si="2"/>
        <v>0</v>
      </c>
      <c r="AA4" s="28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4" s="28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4" s="28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4" s="28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0</v>
      </c>
      <c r="AE4" s="28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0</v>
      </c>
      <c r="AF4" s="28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0</v>
      </c>
      <c r="AG4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H4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I4" s="72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K4" s="64" t="e" vm="30">
        <f>IFERROR(INDEX(ImgDatabase!$J:$J, MATCH(Character[[#This Row],[NameHelper]], ImgDatabase!$E:$E, 0)), "")</f>
        <v>#VALUE!</v>
      </c>
      <c r="AL4" s="72">
        <f>SUM(WeeklyBoss[[#This Row],[NA]:[Burst]])</f>
        <v>0</v>
      </c>
      <c r="AM4" s="2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4" s="2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4" s="40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4" s="108" t="e" vm="33">
        <f>IFERROR(INDEX(ImgDatabase!$M:$M, MATCH(Character[[#This Row],[NameHelper]], ImgDatabase!$E:$E, 0)), "")</f>
        <v>#VALUE!</v>
      </c>
      <c r="AR4" s="40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168</v>
      </c>
      <c r="AT4" s="108" t="e" vm="34">
        <f>IFERROR(INDEX(ImgDatabase!$N:$N, MATCH(Character[[#This Row],[NameHelper]], ImgDatabase!$E:$E, 0)), "")</f>
        <v>#VALUE!</v>
      </c>
      <c r="AU4" s="2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4" s="2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W4" s="2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X4" s="2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1</v>
      </c>
      <c r="AZ4" s="29" t="e" vm="32">
        <f>IFERROR(INDEX(ImgDatabase!$L:$L, MATCH(Character[[#This Row],[NameHelper]], ImgDatabase!$E:$E, 0)), "")</f>
        <v>#VALUE!</v>
      </c>
      <c r="BA4" s="39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BB4" s="2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BC4" s="40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18</v>
      </c>
      <c r="BD4" s="71">
        <f t="shared" si="3"/>
        <v>0</v>
      </c>
      <c r="BE4" s="28">
        <f t="shared" si="4"/>
        <v>0</v>
      </c>
      <c r="BF4" s="72">
        <f t="shared" si="5"/>
        <v>0</v>
      </c>
      <c r="BG4" s="71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4" s="2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4" s="2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4" s="2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4" s="2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4" s="2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4" s="2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4" s="2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4" s="72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4" s="91">
        <f t="shared" si="6"/>
        <v>36</v>
      </c>
      <c r="BQ4" s="34">
        <f t="shared" si="7"/>
        <v>30</v>
      </c>
      <c r="BR4" s="92">
        <f t="shared" si="8"/>
        <v>18</v>
      </c>
      <c r="BT4" s="100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1444540</v>
      </c>
      <c r="BU4" s="35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4" s="35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4" s="35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4" s="101">
        <f>SUM(Table40[[#This Row],[Ascension
Cost]:[Talent Cost
(Burst)]])</f>
        <v>1444540</v>
      </c>
    </row>
    <row r="5" spans="1:76" ht="30" customHeight="1" x14ac:dyDescent="0.25">
      <c r="A5" s="52">
        <f>SUBTOTAL(3,$D$3:Character[[#This Row],[NameHelper]])</f>
        <v>3</v>
      </c>
      <c r="B5" s="31" t="e" vm="809">
        <f>IFERROR(INDEX(ImgDatabase!$D:$D, MATCH(Character[[#This Row],[NameHelper]], ImgDatabase!$E:$E, 0)), "")</f>
        <v>#VALUE!</v>
      </c>
      <c r="C5" s="30" t="s">
        <v>377</v>
      </c>
      <c r="D5" s="30" t="s">
        <v>377</v>
      </c>
      <c r="E5" s="29" t="e" vm="164">
        <f>IFERROR(INDEX(ImgDatabase!$G:$G, MATCH(Character[[#This Row],[NameHelper]], ImgDatabase!$E:$E, 0)), "")</f>
        <v>#VALUE!</v>
      </c>
      <c r="F5" s="29" t="e" vm="359">
        <f>IFERROR(INDEX(CharacterDetailsImg[Weapon Type], MATCH(Character[[#This Row],[NameHelper]], CharacterDetailsImg[Name], 0)), "")</f>
        <v>#VALUE!</v>
      </c>
      <c r="G5" s="53">
        <f>IFERROR(INDEX(CharacterDetailsImg[Released Version], MATCH(Character[[#This Row],[NameHelper]], CharacterDetailsImg[Name], 0)), "")</f>
        <v>2.1</v>
      </c>
      <c r="H5" s="108">
        <v>21</v>
      </c>
      <c r="I5" s="29">
        <v>1</v>
      </c>
      <c r="J5" s="29">
        <v>1</v>
      </c>
      <c r="K5" s="40">
        <v>1</v>
      </c>
      <c r="M5" s="108">
        <v>81</v>
      </c>
      <c r="N5" s="29">
        <v>1</v>
      </c>
      <c r="O5" s="29">
        <v>9</v>
      </c>
      <c r="P5" s="40">
        <v>9</v>
      </c>
      <c r="R5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250</v>
      </c>
      <c r="T5" s="108" t="e" vm="360">
        <f>IFERROR(INDEX(ImgDatabase!$I:$I, MATCH(Character[[#This Row],[NameHelper]], ImgDatabase!$E:$E, 0)), "")</f>
        <v>#VALUE!</v>
      </c>
      <c r="U5" s="61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46</v>
      </c>
      <c r="W5" s="64" t="e" vm="362">
        <f>IFERROR(INDEX(ImgDatabase!$K:$K, MATCH(Character[[#This Row],[NameHelper]], ImgDatabase!$E:$E, 0)), "")</f>
        <v>#VALUE!</v>
      </c>
      <c r="X5" s="26">
        <f t="shared" si="0"/>
        <v>44</v>
      </c>
      <c r="Y5" s="26">
        <f t="shared" si="1"/>
        <v>43</v>
      </c>
      <c r="Z5" s="73">
        <f t="shared" si="2"/>
        <v>25</v>
      </c>
      <c r="AA5" s="26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5" s="26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5" s="26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5" s="26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22</v>
      </c>
      <c r="AE5" s="26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21</v>
      </c>
      <c r="AF5" s="26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3</v>
      </c>
      <c r="AG5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H5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I5" s="73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K5" s="112" t="e" vm="361">
        <f>IFERROR(INDEX(ImgDatabase!$J:$J, MATCH(Character[[#This Row],[NameHelper]], ImgDatabase!$E:$E, 0)), "")</f>
        <v>#VALUE!</v>
      </c>
      <c r="AL5" s="73">
        <f>SUM(WeeklyBoss[[#This Row],[NA]:[Burst]])</f>
        <v>8</v>
      </c>
      <c r="AM5" s="27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5" s="27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5" s="61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5" s="107" t="e" vm="363">
        <f>IFERROR(INDEX(ImgDatabase!$M:$M, MATCH(Character[[#This Row],[NameHelper]], ImgDatabase!$E:$E, 0)), "")</f>
        <v>#VALUE!</v>
      </c>
      <c r="AR5" s="61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T5" s="107" t="e" vm="168">
        <f>IFERROR(INDEX(ImgDatabase!$N:$N, MATCH(Character[[#This Row],[NameHelper]], ImgDatabase!$E:$E, 0)), "")</f>
        <v>#VALUE!</v>
      </c>
      <c r="AU5" s="2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5" s="2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W5" s="2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X5" s="2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5" s="27" t="e" vm="75">
        <f>IFERROR(INDEX(ImgDatabase!$L:$L, MATCH(Character[[#This Row],[NameHelper]], ImgDatabase!$E:$E, 0)), "")</f>
        <v>#VALUE!</v>
      </c>
      <c r="BA5" s="8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BB5" s="2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BC5" s="61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BD5" s="82">
        <f t="shared" si="3"/>
        <v>38</v>
      </c>
      <c r="BE5" s="26">
        <f t="shared" si="4"/>
        <v>44</v>
      </c>
      <c r="BF5" s="73">
        <f t="shared" si="5"/>
        <v>12</v>
      </c>
      <c r="BG5" s="82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5" s="26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5" s="26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5" s="26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5" s="26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5" s="26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5" s="26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5" s="26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5" s="73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5" s="89">
        <f t="shared" si="6"/>
        <v>74</v>
      </c>
      <c r="BQ5" s="32">
        <f t="shared" si="7"/>
        <v>74</v>
      </c>
      <c r="BR5" s="90">
        <f t="shared" si="8"/>
        <v>27</v>
      </c>
      <c r="BT5" s="102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1397530</v>
      </c>
      <c r="BU5" s="33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5" s="33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5" s="33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5" s="103">
        <f>SUM(Table40[[#This Row],[Ascension
Cost]:[Talent Cost
(Burst)]])</f>
        <v>3302530</v>
      </c>
    </row>
    <row r="6" spans="1:76" ht="30" customHeight="1" x14ac:dyDescent="0.25">
      <c r="A6" s="52">
        <f>SUBTOTAL(3,$D$3:Character[[#This Row],[NameHelper]])</f>
        <v>4</v>
      </c>
      <c r="B6" s="31" t="e" vm="810">
        <f>IFERROR(INDEX(ImgDatabase!$D:$D, MATCH(Character[[#This Row],[NameHelper]], ImgDatabase!$E:$E, 0)), "")</f>
        <v>#VALUE!</v>
      </c>
      <c r="C6" s="30" t="s">
        <v>387</v>
      </c>
      <c r="D6" s="30" t="s">
        <v>387</v>
      </c>
      <c r="E6" s="29" t="e" vm="50">
        <f>IFERROR(INDEX(ImgDatabase!$G:$G, MATCH(Character[[#This Row],[NameHelper]], ImgDatabase!$E:$E, 0)), "")</f>
        <v>#VALUE!</v>
      </c>
      <c r="F6" s="29" t="e" vm="359">
        <f>IFERROR(INDEX(CharacterDetailsImg[Weapon Type], MATCH(Character[[#This Row],[NameHelper]], CharacterDetailsImg[Name], 0)), "")</f>
        <v>#VALUE!</v>
      </c>
      <c r="G6" s="53">
        <f>IFERROR(INDEX(CharacterDetailsImg[Released Version], MATCH(Character[[#This Row],[NameHelper]], CharacterDetailsImg[Name], 0)), "")</f>
        <v>1</v>
      </c>
      <c r="H6" s="108">
        <v>60</v>
      </c>
      <c r="I6" s="29">
        <v>1</v>
      </c>
      <c r="J6" s="29">
        <v>1</v>
      </c>
      <c r="K6" s="40">
        <v>1</v>
      </c>
      <c r="M6" s="108">
        <v>81</v>
      </c>
      <c r="N6" s="29">
        <v>1</v>
      </c>
      <c r="O6" s="29">
        <v>9</v>
      </c>
      <c r="P6" s="40">
        <v>9</v>
      </c>
      <c r="R6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150</v>
      </c>
      <c r="T6" s="108" t="e" vm="51">
        <f>IFERROR(INDEX(ImgDatabase!$I:$I, MATCH(Character[[#This Row],[NameHelper]], ImgDatabase!$E:$E, 0)), "")</f>
        <v>#VALUE!</v>
      </c>
      <c r="U6" s="40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40</v>
      </c>
      <c r="W6" s="64" t="e" vm="362">
        <f>IFERROR(INDEX(ImgDatabase!$K:$K, MATCH(Character[[#This Row],[NameHelper]], ImgDatabase!$E:$E, 0)), "")</f>
        <v>#VALUE!</v>
      </c>
      <c r="X6" s="28">
        <f t="shared" si="0"/>
        <v>44</v>
      </c>
      <c r="Y6" s="28">
        <f t="shared" si="1"/>
        <v>43</v>
      </c>
      <c r="Z6" s="72">
        <f t="shared" si="2"/>
        <v>25</v>
      </c>
      <c r="AA6" s="28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6" s="28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6" s="28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6" s="28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22</v>
      </c>
      <c r="AE6" s="28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21</v>
      </c>
      <c r="AF6" s="28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3</v>
      </c>
      <c r="AG6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H6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I6" s="72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K6" s="64" t="e" vm="372">
        <f>IFERROR(INDEX(ImgDatabase!$J:$J, MATCH(Character[[#This Row],[NameHelper]], ImgDatabase!$E:$E, 0)), "")</f>
        <v>#VALUE!</v>
      </c>
      <c r="AL6" s="72">
        <f>SUM(WeeklyBoss[[#This Row],[NA]:[Burst]])</f>
        <v>8</v>
      </c>
      <c r="AM6" s="2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6" s="2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6" s="40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6" s="108" t="e" vm="374">
        <f>IFERROR(INDEX(ImgDatabase!$M:$M, MATCH(Character[[#This Row],[NameHelper]], ImgDatabase!$E:$E, 0)), "")</f>
        <v>#VALUE!</v>
      </c>
      <c r="AR6" s="40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135</v>
      </c>
      <c r="AT6" s="108" t="e" vm="56">
        <f>IFERROR(INDEX(ImgDatabase!$N:$N, MATCH(Character[[#This Row],[NameHelper]], ImgDatabase!$E:$E, 0)), "")</f>
        <v>#VALUE!</v>
      </c>
      <c r="AU6" s="2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6" s="2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W6" s="2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6" s="2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6" s="29" t="e" vm="373">
        <f>IFERROR(INDEX(ImgDatabase!$L:$L, MATCH(Character[[#This Row],[NameHelper]], ImgDatabase!$E:$E, 0)), "")</f>
        <v>#VALUE!</v>
      </c>
      <c r="BA6" s="39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BB6" s="2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18</v>
      </c>
      <c r="BC6" s="40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6" s="71">
        <f t="shared" si="3"/>
        <v>38</v>
      </c>
      <c r="BE6" s="28">
        <f t="shared" si="4"/>
        <v>44</v>
      </c>
      <c r="BF6" s="72">
        <f t="shared" si="5"/>
        <v>12</v>
      </c>
      <c r="BG6" s="71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6" s="2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6" s="2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6" s="2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6" s="2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6" s="2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6" s="2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6" s="2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6" s="72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6" s="91">
        <f t="shared" si="6"/>
        <v>74</v>
      </c>
      <c r="BQ6" s="34">
        <f t="shared" si="7"/>
        <v>62</v>
      </c>
      <c r="BR6" s="92">
        <f t="shared" si="8"/>
        <v>12</v>
      </c>
      <c r="BT6" s="100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898195</v>
      </c>
      <c r="BU6" s="35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6" s="35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6" s="35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6" s="101">
        <f>SUM(Table40[[#This Row],[Ascension
Cost]:[Talent Cost
(Burst)]])</f>
        <v>2803195</v>
      </c>
    </row>
    <row r="7" spans="1:76" ht="30" customHeight="1" x14ac:dyDescent="0.25">
      <c r="A7" s="52">
        <f>SUBTOTAL(3,$D$3:Character[[#This Row],[NameHelper]])</f>
        <v>5</v>
      </c>
      <c r="B7" s="31" t="e" vm="811">
        <f>IFERROR(INDEX(ImgDatabase!$D:$D, MATCH(Character[[#This Row],[NameHelper]], ImgDatabase!$E:$E, 0)), "")</f>
        <v>#VALUE!</v>
      </c>
      <c r="C7" s="30" t="s">
        <v>744</v>
      </c>
      <c r="D7" s="30" t="s">
        <v>490</v>
      </c>
      <c r="E7" s="29" t="e" vm="6">
        <f>IFERROR(INDEX(ImgDatabase!$G:$G, MATCH(Character[[#This Row],[NameHelper]], ImgDatabase!$E:$E, 0)), "")</f>
        <v>#VALUE!</v>
      </c>
      <c r="F7" s="29" t="e" vm="487">
        <f>IFERROR(INDEX(CharacterDetailsImg[Weapon Type], MATCH(Character[[#This Row],[NameHelper]], CharacterDetailsImg[Name], 0)), "")</f>
        <v>#VALUE!</v>
      </c>
      <c r="G7" s="53">
        <f>IFERROR(INDEX(CharacterDetailsImg[Released Version], MATCH(Character[[#This Row],[NameHelper]], CharacterDetailsImg[Name], 0)), "")</f>
        <v>2.2999999999999998</v>
      </c>
      <c r="H7" s="108">
        <v>0</v>
      </c>
      <c r="I7" s="29">
        <v>0</v>
      </c>
      <c r="J7" s="29">
        <v>0</v>
      </c>
      <c r="K7" s="40">
        <v>0</v>
      </c>
      <c r="M7" s="108">
        <v>81</v>
      </c>
      <c r="N7" s="29">
        <v>1</v>
      </c>
      <c r="O7" s="29">
        <v>9</v>
      </c>
      <c r="P7" s="40">
        <v>9</v>
      </c>
      <c r="R7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7" s="108" t="e" vm="488">
        <f>IFERROR(INDEX(ImgDatabase!$I:$I, MATCH(Character[[#This Row],[NameHelper]], ImgDatabase!$E:$E, 0)), "")</f>
        <v>#VALUE!</v>
      </c>
      <c r="U7" s="61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0</v>
      </c>
      <c r="W7" s="64" t="e" vm="182">
        <f>IFERROR(INDEX(ImgDatabase!$K:$K, MATCH(Character[[#This Row],[NameHelper]], ImgDatabase!$E:$E, 0)), "")</f>
        <v>#VALUE!</v>
      </c>
      <c r="X7" s="26">
        <f t="shared" si="0"/>
        <v>0</v>
      </c>
      <c r="Y7" s="26">
        <f t="shared" si="1"/>
        <v>0</v>
      </c>
      <c r="Z7" s="73">
        <f t="shared" si="2"/>
        <v>0</v>
      </c>
      <c r="AA7" s="26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7" s="26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7" s="26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7" s="26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0</v>
      </c>
      <c r="AE7" s="26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0</v>
      </c>
      <c r="AF7" s="26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0</v>
      </c>
      <c r="AG7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H7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I7" s="73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K7" s="112" t="e" vm="432">
        <f>IFERROR(INDEX(ImgDatabase!$J:$J, MATCH(Character[[#This Row],[NameHelper]], ImgDatabase!$E:$E, 0)), "")</f>
        <v>#VALUE!</v>
      </c>
      <c r="AL7" s="73">
        <f>SUM(WeeklyBoss[[#This Row],[NA]:[Burst]])</f>
        <v>0</v>
      </c>
      <c r="AM7" s="27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7" s="27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7" s="61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7" s="107" t="e" vm="489">
        <f>IFERROR(INDEX(ImgDatabase!$M:$M, MATCH(Character[[#This Row],[NameHelper]], ImgDatabase!$E:$E, 0)), "")</f>
        <v>#VALUE!</v>
      </c>
      <c r="AR7" s="61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7" s="107" t="e" vm="12">
        <f>IFERROR(INDEX(ImgDatabase!$N:$N, MATCH(Character[[#This Row],[NameHelper]], ImgDatabase!$E:$E, 0)), "")</f>
        <v>#VALUE!</v>
      </c>
      <c r="AU7" s="2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7" s="2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7" s="2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7" s="2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7" s="27" t="e" vm="469">
        <f>IFERROR(INDEX(ImgDatabase!$L:$L, MATCH(Character[[#This Row],[NameHelper]], ImgDatabase!$E:$E, 0)), "")</f>
        <v>#VALUE!</v>
      </c>
      <c r="BA7" s="8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7" s="2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7" s="61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7" s="82">
        <f t="shared" si="3"/>
        <v>0</v>
      </c>
      <c r="BE7" s="26">
        <f t="shared" si="4"/>
        <v>0</v>
      </c>
      <c r="BF7" s="73">
        <f t="shared" si="5"/>
        <v>0</v>
      </c>
      <c r="BG7" s="82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7" s="26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7" s="26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7" s="26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7" s="26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7" s="26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7" s="26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7" s="26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7" s="73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7" s="89">
        <f t="shared" si="6"/>
        <v>0</v>
      </c>
      <c r="BQ7" s="32">
        <f t="shared" si="7"/>
        <v>0</v>
      </c>
      <c r="BR7" s="90">
        <f t="shared" si="8"/>
        <v>0</v>
      </c>
      <c r="BT7" s="102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7" s="33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7" s="33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7" s="33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7" s="103">
        <f>SUM(Table40[[#This Row],[Ascension
Cost]:[Talent Cost
(Burst)]])</f>
        <v>0</v>
      </c>
    </row>
    <row r="8" spans="1:76" ht="30" customHeight="1" x14ac:dyDescent="0.25">
      <c r="A8" s="52">
        <f>SUBTOTAL(3,$D$3:Character[[#This Row],[NameHelper]])</f>
        <v>6</v>
      </c>
      <c r="B8" s="31" t="e" vm="812">
        <f>IFERROR(INDEX(ImgDatabase!$D:$D, MATCH(Character[[#This Row],[NameHelper]], ImgDatabase!$E:$E, 0)), "")</f>
        <v>#VALUE!</v>
      </c>
      <c r="C8" s="30" t="s">
        <v>539</v>
      </c>
      <c r="D8" s="30" t="s">
        <v>539</v>
      </c>
      <c r="E8" s="29" t="e" vm="50">
        <f>IFERROR(INDEX(ImgDatabase!$G:$G, MATCH(Character[[#This Row],[NameHelper]], ImgDatabase!$E:$E, 0)), "")</f>
        <v>#VALUE!</v>
      </c>
      <c r="F8" s="29" t="e" vm="551">
        <f>IFERROR(INDEX(CharacterDetailsImg[Weapon Type], MATCH(Character[[#This Row],[NameHelper]], CharacterDetailsImg[Name], 0)), "")</f>
        <v>#VALUE!</v>
      </c>
      <c r="G8" s="53">
        <f>IFERROR(INDEX(CharacterDetailsImg[Released Version], MATCH(Character[[#This Row],[NameHelper]], CharacterDetailsImg[Name], 0)), "")</f>
        <v>4.5999999999999996</v>
      </c>
      <c r="H8" s="108">
        <v>90</v>
      </c>
      <c r="I8" s="29">
        <v>10</v>
      </c>
      <c r="J8" s="29">
        <v>10</v>
      </c>
      <c r="K8" s="40">
        <v>8</v>
      </c>
      <c r="M8" s="108">
        <v>81</v>
      </c>
      <c r="N8" s="29">
        <v>1</v>
      </c>
      <c r="O8" s="29">
        <v>9</v>
      </c>
      <c r="P8" s="40">
        <v>9</v>
      </c>
      <c r="R8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8" s="108" t="e" vm="552">
        <f>IFERROR(INDEX(ImgDatabase!$I:$I, MATCH(Character[[#This Row],[NameHelper]], ImgDatabase!$E:$E, 0)), "")</f>
        <v>#VALUE!</v>
      </c>
      <c r="U8" s="40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0</v>
      </c>
      <c r="W8" s="64" t="e" vm="259">
        <f>IFERROR(INDEX(ImgDatabase!$K:$K, MATCH(Character[[#This Row],[NameHelper]], ImgDatabase!$E:$E, 0)), "")</f>
        <v>#VALUE!</v>
      </c>
      <c r="X8" s="28">
        <f t="shared" si="0"/>
        <v>12</v>
      </c>
      <c r="Y8" s="28">
        <f t="shared" si="1"/>
        <v>12</v>
      </c>
      <c r="Z8" s="72">
        <f t="shared" si="2"/>
        <v>12</v>
      </c>
      <c r="AA8" s="28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8" s="28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8" s="28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8" s="28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0</v>
      </c>
      <c r="AE8" s="28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0</v>
      </c>
      <c r="AF8" s="28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0</v>
      </c>
      <c r="AG8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12</v>
      </c>
      <c r="AH8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12</v>
      </c>
      <c r="AI8" s="72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12</v>
      </c>
      <c r="AK8" s="64" t="e" vm="553">
        <f>IFERROR(INDEX(ImgDatabase!$J:$J, MATCH(Character[[#This Row],[NameHelper]], ImgDatabase!$E:$E, 0)), "")</f>
        <v>#VALUE!</v>
      </c>
      <c r="AL8" s="72">
        <f>SUM(WeeklyBoss[[#This Row],[NA]:[Burst]])</f>
        <v>2</v>
      </c>
      <c r="AM8" s="2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8" s="2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8" s="40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2</v>
      </c>
      <c r="AQ8" s="108" t="e" vm="443">
        <f>IFERROR(INDEX(ImgDatabase!$M:$M, MATCH(Character[[#This Row],[NameHelper]], ImgDatabase!$E:$E, 0)), "")</f>
        <v>#VALUE!</v>
      </c>
      <c r="AR8" s="40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8" s="108" t="e" vm="56">
        <f>IFERROR(INDEX(ImgDatabase!$N:$N, MATCH(Character[[#This Row],[NameHelper]], ImgDatabase!$E:$E, 0)), "")</f>
        <v>#VALUE!</v>
      </c>
      <c r="AU8" s="2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8" s="2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8" s="2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8" s="2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8" s="29" t="e" vm="442">
        <f>IFERROR(INDEX(ImgDatabase!$L:$L, MATCH(Character[[#This Row],[NameHelper]], ImgDatabase!$E:$E, 0)), "")</f>
        <v>#VALUE!</v>
      </c>
      <c r="BA8" s="39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8" s="2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8" s="40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8" s="71">
        <f t="shared" si="3"/>
        <v>9</v>
      </c>
      <c r="BE8" s="28">
        <f t="shared" si="4"/>
        <v>0</v>
      </c>
      <c r="BF8" s="72">
        <f t="shared" si="5"/>
        <v>0</v>
      </c>
      <c r="BG8" s="71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8" s="2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8" s="2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8" s="2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8" s="2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8" s="2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8" s="2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9</v>
      </c>
      <c r="BN8" s="2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8" s="72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8" s="91">
        <f t="shared" si="6"/>
        <v>9</v>
      </c>
      <c r="BQ8" s="34">
        <f t="shared" si="7"/>
        <v>0</v>
      </c>
      <c r="BR8" s="92">
        <f t="shared" si="8"/>
        <v>0</v>
      </c>
      <c r="BT8" s="100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8" s="35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8" s="35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8" s="35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450000</v>
      </c>
      <c r="BX8" s="101">
        <f>SUM(Table40[[#This Row],[Ascension
Cost]:[Talent Cost
(Burst)]])</f>
        <v>450000</v>
      </c>
    </row>
    <row r="9" spans="1:76" ht="30" customHeight="1" x14ac:dyDescent="0.25">
      <c r="A9" s="52">
        <f>SUBTOTAL(3,$D$3:Character[[#This Row],[NameHelper]])</f>
        <v>7</v>
      </c>
      <c r="B9" s="31" t="e" vm="813">
        <f>IFERROR(INDEX(ImgDatabase!$D:$D, MATCH(Character[[#This Row],[NameHelper]], ImgDatabase!$E:$E, 0)), "")</f>
        <v>#VALUE!</v>
      </c>
      <c r="C9" s="30" t="s">
        <v>542</v>
      </c>
      <c r="D9" s="30" t="s">
        <v>542</v>
      </c>
      <c r="E9" s="29" t="e" vm="28">
        <f>IFERROR(INDEX(ImgDatabase!$G:$G, MATCH(Character[[#This Row],[NameHelper]], ImgDatabase!$E:$E, 0)), "")</f>
        <v>#VALUE!</v>
      </c>
      <c r="F9" s="29" t="e" vm="557">
        <f>IFERROR(INDEX(CharacterDetailsImg[Weapon Type], MATCH(Character[[#This Row],[NameHelper]], CharacterDetailsImg[Name], 0)), "")</f>
        <v>#VALUE!</v>
      </c>
      <c r="G9" s="53">
        <f>IFERROR(INDEX(CharacterDetailsImg[Released Version], MATCH(Character[[#This Row],[NameHelper]], CharacterDetailsImg[Name], 0)), "")</f>
        <v>3.6</v>
      </c>
      <c r="H9" s="108">
        <v>90</v>
      </c>
      <c r="I9" s="29">
        <v>1</v>
      </c>
      <c r="J9" s="29">
        <v>9</v>
      </c>
      <c r="K9" s="40">
        <v>9</v>
      </c>
      <c r="M9" s="108">
        <v>81</v>
      </c>
      <c r="N9" s="29">
        <v>1</v>
      </c>
      <c r="O9" s="29">
        <v>9</v>
      </c>
      <c r="P9" s="40">
        <v>9</v>
      </c>
      <c r="R9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9" s="108" t="e" vm="224">
        <f>IFERROR(INDEX(ImgDatabase!$I:$I, MATCH(Character[[#This Row],[NameHelper]], ImgDatabase!$E:$E, 0)), "")</f>
        <v>#VALUE!</v>
      </c>
      <c r="U9" s="61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0</v>
      </c>
      <c r="W9" s="64" t="e" vm="349">
        <f>IFERROR(INDEX(ImgDatabase!$K:$K, MATCH(Character[[#This Row],[NameHelper]], ImgDatabase!$E:$E, 0)), "")</f>
        <v>#VALUE!</v>
      </c>
      <c r="X9" s="26">
        <f t="shared" si="0"/>
        <v>0</v>
      </c>
      <c r="Y9" s="26">
        <f t="shared" si="1"/>
        <v>0</v>
      </c>
      <c r="Z9" s="73">
        <f t="shared" si="2"/>
        <v>0</v>
      </c>
      <c r="AA9" s="26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9" s="26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9" s="26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9" s="26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0</v>
      </c>
      <c r="AE9" s="26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0</v>
      </c>
      <c r="AF9" s="26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0</v>
      </c>
      <c r="AG9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H9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I9" s="73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K9" s="112" t="e" vm="519">
        <f>IFERROR(INDEX(ImgDatabase!$J:$J, MATCH(Character[[#This Row],[NameHelper]], ImgDatabase!$E:$E, 0)), "")</f>
        <v>#VALUE!</v>
      </c>
      <c r="AL9" s="73">
        <f>SUM(WeeklyBoss[[#This Row],[NA]:[Burst]])</f>
        <v>0</v>
      </c>
      <c r="AM9" s="27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9" s="27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9" s="61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9" s="107" t="e" vm="282">
        <f>IFERROR(INDEX(ImgDatabase!$M:$M, MATCH(Character[[#This Row],[NameHelper]], ImgDatabase!$E:$E, 0)), "")</f>
        <v>#VALUE!</v>
      </c>
      <c r="AR9" s="61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9" s="107" t="e" vm="34">
        <f>IFERROR(INDEX(ImgDatabase!$N:$N, MATCH(Character[[#This Row],[NameHelper]], ImgDatabase!$E:$E, 0)), "")</f>
        <v>#VALUE!</v>
      </c>
      <c r="AU9" s="2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9" s="2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9" s="2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9" s="2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9" s="27" t="e" vm="271">
        <f>IFERROR(INDEX(ImgDatabase!$L:$L, MATCH(Character[[#This Row],[NameHelper]], ImgDatabase!$E:$E, 0)), "")</f>
        <v>#VALUE!</v>
      </c>
      <c r="BA9" s="8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9" s="2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9" s="61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9" s="82">
        <f t="shared" si="3"/>
        <v>0</v>
      </c>
      <c r="BE9" s="26">
        <f t="shared" si="4"/>
        <v>0</v>
      </c>
      <c r="BF9" s="73">
        <f t="shared" si="5"/>
        <v>0</v>
      </c>
      <c r="BG9" s="82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9" s="26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9" s="26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9" s="26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9" s="26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9" s="26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9" s="26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9" s="26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9" s="73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9" s="89">
        <f t="shared" si="6"/>
        <v>0</v>
      </c>
      <c r="BQ9" s="32">
        <f t="shared" si="7"/>
        <v>0</v>
      </c>
      <c r="BR9" s="90">
        <f t="shared" si="8"/>
        <v>0</v>
      </c>
      <c r="BT9" s="102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9" s="33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9" s="33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9" s="33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9" s="103">
        <f>SUM(Table40[[#This Row],[Ascension
Cost]:[Talent Cost
(Burst)]])</f>
        <v>0</v>
      </c>
    </row>
    <row r="10" spans="1:76" ht="30" customHeight="1" x14ac:dyDescent="0.25">
      <c r="A10" s="52">
        <f>SUBTOTAL(3,$D$3:Character[[#This Row],[NameHelper]])</f>
        <v>8</v>
      </c>
      <c r="B10" s="31" t="e" vm="814">
        <f>IFERROR(INDEX(ImgDatabase!$D:$D, MATCH(Character[[#This Row],[NameHelper]], ImgDatabase!$E:$E, 0)), "")</f>
        <v>#VALUE!</v>
      </c>
      <c r="C10" s="30" t="s">
        <v>545</v>
      </c>
      <c r="D10" s="30" t="s">
        <v>545</v>
      </c>
      <c r="E10" s="29" t="e" vm="112">
        <f>IFERROR(INDEX(ImgDatabase!$G:$G, MATCH(Character[[#This Row],[NameHelper]], ImgDatabase!$E:$E, 0)), "")</f>
        <v>#VALUE!</v>
      </c>
      <c r="F10" s="29" t="e" vm="557">
        <f>IFERROR(INDEX(CharacterDetailsImg[Weapon Type], MATCH(Character[[#This Row],[NameHelper]], CharacterDetailsImg[Name], 0)), "")</f>
        <v>#VALUE!</v>
      </c>
      <c r="G10" s="53">
        <f>IFERROR(INDEX(CharacterDetailsImg[Released Version], MATCH(Character[[#This Row],[NameHelper]], CharacterDetailsImg[Name], 0)), "")</f>
        <v>1</v>
      </c>
      <c r="H10" s="108">
        <v>81</v>
      </c>
      <c r="I10" s="29">
        <v>1</v>
      </c>
      <c r="J10" s="29">
        <v>5</v>
      </c>
      <c r="K10" s="40">
        <v>5</v>
      </c>
      <c r="M10" s="108">
        <v>81</v>
      </c>
      <c r="N10" s="29">
        <v>1</v>
      </c>
      <c r="O10" s="29">
        <v>9</v>
      </c>
      <c r="P10" s="40">
        <v>9</v>
      </c>
      <c r="R10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10" s="108" t="e" vm="348">
        <f>IFERROR(INDEX(ImgDatabase!$I:$I, MATCH(Character[[#This Row],[NameHelper]], ImgDatabase!$E:$E, 0)), "")</f>
        <v>#VALUE!</v>
      </c>
      <c r="U10" s="40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0</v>
      </c>
      <c r="W10" s="64" t="e" vm="362">
        <f>IFERROR(INDEX(ImgDatabase!$K:$K, MATCH(Character[[#This Row],[NameHelper]], ImgDatabase!$E:$E, 0)), "")</f>
        <v>#VALUE!</v>
      </c>
      <c r="X10" s="28">
        <f t="shared" si="0"/>
        <v>44</v>
      </c>
      <c r="Y10" s="28">
        <f t="shared" si="1"/>
        <v>31</v>
      </c>
      <c r="Z10" s="72">
        <f t="shared" si="2"/>
        <v>22</v>
      </c>
      <c r="AA10" s="28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10" s="28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10" s="28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10" s="28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22</v>
      </c>
      <c r="AE10" s="28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9</v>
      </c>
      <c r="AF10" s="28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0</v>
      </c>
      <c r="AG10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H10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I10" s="72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K10" s="64" t="e" vm="210">
        <f>IFERROR(INDEX(ImgDatabase!$J:$J, MATCH(Character[[#This Row],[NameHelper]], ImgDatabase!$E:$E, 0)), "")</f>
        <v>#VALUE!</v>
      </c>
      <c r="AL10" s="72">
        <f>SUM(WeeklyBoss[[#This Row],[NA]:[Burst]])</f>
        <v>8</v>
      </c>
      <c r="AM10" s="2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10" s="2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10" s="40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10" s="108" t="e" vm="561">
        <f>IFERROR(INDEX(ImgDatabase!$M:$M, MATCH(Character[[#This Row],[NameHelper]], ImgDatabase!$E:$E, 0)), "")</f>
        <v>#VALUE!</v>
      </c>
      <c r="AR10" s="40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10" s="108" t="e" vm="117">
        <f>IFERROR(INDEX(ImgDatabase!$N:$N, MATCH(Character[[#This Row],[NameHelper]], ImgDatabase!$E:$E, 0)), "")</f>
        <v>#VALUE!</v>
      </c>
      <c r="AU10" s="2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10" s="2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10" s="2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10" s="2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10" s="29" t="e" vm="10">
        <f>IFERROR(INDEX(ImgDatabase!$L:$L, MATCH(Character[[#This Row],[NameHelper]], ImgDatabase!$E:$E, 0)), "")</f>
        <v>#VALUE!</v>
      </c>
      <c r="BA10" s="39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10" s="2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10" s="40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10" s="71">
        <f t="shared" si="3"/>
        <v>38</v>
      </c>
      <c r="BE10" s="28">
        <f t="shared" si="4"/>
        <v>18</v>
      </c>
      <c r="BF10" s="72">
        <f t="shared" si="5"/>
        <v>0</v>
      </c>
      <c r="BG10" s="71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10" s="2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10" s="2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10" s="2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10" s="2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9</v>
      </c>
      <c r="BL10" s="2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10" s="2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10" s="2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9</v>
      </c>
      <c r="BO10" s="72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10" s="91">
        <f t="shared" si="6"/>
        <v>38</v>
      </c>
      <c r="BQ10" s="34">
        <f t="shared" si="7"/>
        <v>18</v>
      </c>
      <c r="BR10" s="92">
        <f t="shared" si="8"/>
        <v>0</v>
      </c>
      <c r="BT10" s="100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10" s="35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10" s="35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867500</v>
      </c>
      <c r="BW10" s="35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867500</v>
      </c>
      <c r="BX10" s="101">
        <f>SUM(Table40[[#This Row],[Ascension
Cost]:[Talent Cost
(Burst)]])</f>
        <v>1735000</v>
      </c>
    </row>
    <row r="11" spans="1:76" ht="30" customHeight="1" x14ac:dyDescent="0.25">
      <c r="A11" s="52">
        <f>SUBTOTAL(3,$D$3:Character[[#This Row],[NameHelper]])</f>
        <v>9</v>
      </c>
      <c r="B11" s="31" t="e" vm="815">
        <f>IFERROR(INDEX(ImgDatabase!$D:$D, MATCH(Character[[#This Row],[NameHelper]], ImgDatabase!$E:$E, 0)), "")</f>
        <v>#VALUE!</v>
      </c>
      <c r="C11" s="30" t="s">
        <v>495</v>
      </c>
      <c r="D11" s="30" t="s">
        <v>495</v>
      </c>
      <c r="E11" s="29" t="e" vm="91">
        <f>IFERROR(INDEX(ImgDatabase!$G:$G, MATCH(Character[[#This Row],[NameHelper]], ImgDatabase!$E:$E, 0)), "")</f>
        <v>#VALUE!</v>
      </c>
      <c r="F11" s="29" t="e" vm="487">
        <f>IFERROR(INDEX(CharacterDetailsImg[Weapon Type], MATCH(Character[[#This Row],[NameHelper]], CharacterDetailsImg[Name], 0)), "")</f>
        <v>#VALUE!</v>
      </c>
      <c r="G11" s="53">
        <f>IFERROR(INDEX(CharacterDetailsImg[Released Version], MATCH(Character[[#This Row],[NameHelper]], CharacterDetailsImg[Name], 0)), "")</f>
        <v>1</v>
      </c>
      <c r="H11" s="108">
        <v>51</v>
      </c>
      <c r="I11" s="29">
        <v>1</v>
      </c>
      <c r="J11" s="29">
        <v>1</v>
      </c>
      <c r="K11" s="40">
        <v>1</v>
      </c>
      <c r="M11" s="108">
        <v>81</v>
      </c>
      <c r="N11" s="29">
        <v>1</v>
      </c>
      <c r="O11" s="29">
        <v>9</v>
      </c>
      <c r="P11" s="40">
        <v>9</v>
      </c>
      <c r="R11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189</v>
      </c>
      <c r="T11" s="108" t="e" vm="209">
        <f>IFERROR(INDEX(ImgDatabase!$I:$I, MATCH(Character[[#This Row],[NameHelper]], ImgDatabase!$E:$E, 0)), "")</f>
        <v>#VALUE!</v>
      </c>
      <c r="U11" s="61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40</v>
      </c>
      <c r="W11" s="64" t="e" vm="349">
        <f>IFERROR(INDEX(ImgDatabase!$K:$K, MATCH(Character[[#This Row],[NameHelper]], ImgDatabase!$E:$E, 0)), "")</f>
        <v>#VALUE!</v>
      </c>
      <c r="X11" s="26">
        <f t="shared" si="0"/>
        <v>44</v>
      </c>
      <c r="Y11" s="26">
        <f t="shared" si="1"/>
        <v>43</v>
      </c>
      <c r="Z11" s="73">
        <f t="shared" si="2"/>
        <v>25</v>
      </c>
      <c r="AA11" s="26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11" s="26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11" s="26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11" s="26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22</v>
      </c>
      <c r="AE11" s="26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21</v>
      </c>
      <c r="AF11" s="26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3</v>
      </c>
      <c r="AG11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H11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I11" s="73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K11" s="112" t="e" vm="372">
        <f>IFERROR(INDEX(ImgDatabase!$J:$J, MATCH(Character[[#This Row],[NameHelper]], ImgDatabase!$E:$E, 0)), "")</f>
        <v>#VALUE!</v>
      </c>
      <c r="AL11" s="73">
        <f>SUM(WeeklyBoss[[#This Row],[NA]:[Burst]])</f>
        <v>8</v>
      </c>
      <c r="AM11" s="27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11" s="27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11" s="61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11" s="107" t="e" vm="495">
        <f>IFERROR(INDEX(ImgDatabase!$M:$M, MATCH(Character[[#This Row],[NameHelper]], ImgDatabase!$E:$E, 0)), "")</f>
        <v>#VALUE!</v>
      </c>
      <c r="AR11" s="61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135</v>
      </c>
      <c r="AT11" s="107" t="e" vm="97">
        <f>IFERROR(INDEX(ImgDatabase!$N:$N, MATCH(Character[[#This Row],[NameHelper]], ImgDatabase!$E:$E, 0)), "")</f>
        <v>#VALUE!</v>
      </c>
      <c r="AU11" s="2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11" s="2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W11" s="2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11" s="2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11" s="27" t="e" vm="54">
        <f>IFERROR(INDEX(ImgDatabase!$L:$L, MATCH(Character[[#This Row],[NameHelper]], ImgDatabase!$E:$E, 0)), "")</f>
        <v>#VALUE!</v>
      </c>
      <c r="BA11" s="8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BB11" s="2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18</v>
      </c>
      <c r="BC11" s="61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11" s="82">
        <f t="shared" si="3"/>
        <v>38</v>
      </c>
      <c r="BE11" s="26">
        <f t="shared" si="4"/>
        <v>44</v>
      </c>
      <c r="BF11" s="73">
        <f t="shared" si="5"/>
        <v>12</v>
      </c>
      <c r="BG11" s="82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11" s="26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11" s="26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11" s="26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11" s="26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11" s="26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11" s="26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11" s="26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11" s="73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11" s="89">
        <f t="shared" si="6"/>
        <v>74</v>
      </c>
      <c r="BQ11" s="32">
        <f t="shared" si="7"/>
        <v>62</v>
      </c>
      <c r="BR11" s="90">
        <f t="shared" si="8"/>
        <v>12</v>
      </c>
      <c r="BT11" s="102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1054925</v>
      </c>
      <c r="BU11" s="33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11" s="33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11" s="33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11" s="103">
        <f>SUM(Table40[[#This Row],[Ascension
Cost]:[Talent Cost
(Burst)]])</f>
        <v>2959925</v>
      </c>
    </row>
    <row r="12" spans="1:76" ht="30" customHeight="1" x14ac:dyDescent="0.25">
      <c r="A12" s="52">
        <f>SUBTOTAL(3,$D$3:Character[[#This Row],[NameHelper]])</f>
        <v>10</v>
      </c>
      <c r="B12" s="31" t="e" vm="816">
        <f>IFERROR(INDEX(ImgDatabase!$D:$D, MATCH(Character[[#This Row],[NameHelper]], ImgDatabase!$E:$E, 0)), "")</f>
        <v>#VALUE!</v>
      </c>
      <c r="C12" s="30" t="s">
        <v>114</v>
      </c>
      <c r="D12" s="30" t="s">
        <v>114</v>
      </c>
      <c r="E12" s="29" t="e" vm="50">
        <f>IFERROR(INDEX(ImgDatabase!$G:$G, MATCH(Character[[#This Row],[NameHelper]], ImgDatabase!$E:$E, 0)), "")</f>
        <v>#VALUE!</v>
      </c>
      <c r="F12" s="29" t="e" vm="5">
        <f>IFERROR(INDEX(CharacterDetailsImg[Weapon Type], MATCH(Character[[#This Row],[NameHelper]], CharacterDetailsImg[Name], 0)), "")</f>
        <v>#VALUE!</v>
      </c>
      <c r="G12" s="53">
        <f>IFERROR(INDEX(CharacterDetailsImg[Released Version], MATCH(Character[[#This Row],[NameHelper]], CharacterDetailsImg[Name], 0)), "")</f>
        <v>1</v>
      </c>
      <c r="H12" s="108">
        <v>90</v>
      </c>
      <c r="I12" s="29">
        <v>1</v>
      </c>
      <c r="J12" s="29">
        <v>7</v>
      </c>
      <c r="K12" s="40">
        <v>10</v>
      </c>
      <c r="M12" s="108">
        <v>81</v>
      </c>
      <c r="N12" s="29">
        <v>1</v>
      </c>
      <c r="O12" s="29">
        <v>9</v>
      </c>
      <c r="P12" s="40">
        <v>9</v>
      </c>
      <c r="R12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12" s="108" t="e" vm="51">
        <f>IFERROR(INDEX(ImgDatabase!$I:$I, MATCH(Character[[#This Row],[NameHelper]], ImgDatabase!$E:$E, 0)), "")</f>
        <v>#VALUE!</v>
      </c>
      <c r="U12" s="40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0</v>
      </c>
      <c r="W12" s="64" t="e" vm="53">
        <f>IFERROR(INDEX(ImgDatabase!$K:$K, MATCH(Character[[#This Row],[NameHelper]], ImgDatabase!$E:$E, 0)), "")</f>
        <v>#VALUE!</v>
      </c>
      <c r="X12" s="28">
        <f t="shared" si="0"/>
        <v>18</v>
      </c>
      <c r="Y12" s="28">
        <f t="shared" si="1"/>
        <v>0</v>
      </c>
      <c r="Z12" s="72">
        <f t="shared" si="2"/>
        <v>0</v>
      </c>
      <c r="AA12" s="28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12" s="28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12" s="28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12" s="28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18</v>
      </c>
      <c r="AE12" s="28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0</v>
      </c>
      <c r="AF12" s="28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0</v>
      </c>
      <c r="AG12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H12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I12" s="72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K12" s="64" t="e" vm="52">
        <f>IFERROR(INDEX(ImgDatabase!$J:$J, MATCH(Character[[#This Row],[NameHelper]], ImgDatabase!$E:$E, 0)), "")</f>
        <v>#VALUE!</v>
      </c>
      <c r="AL12" s="72">
        <f>SUM(WeeklyBoss[[#This Row],[NA]:[Burst]])</f>
        <v>3</v>
      </c>
      <c r="AM12" s="2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12" s="2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3</v>
      </c>
      <c r="AO12" s="40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12" s="108" t="e" vm="55">
        <f>IFERROR(INDEX(ImgDatabase!$M:$M, MATCH(Character[[#This Row],[NameHelper]], ImgDatabase!$E:$E, 0)), "")</f>
        <v>#VALUE!</v>
      </c>
      <c r="AR12" s="40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12" s="108" t="e" vm="56">
        <f>IFERROR(INDEX(ImgDatabase!$N:$N, MATCH(Character[[#This Row],[NameHelper]], ImgDatabase!$E:$E, 0)), "")</f>
        <v>#VALUE!</v>
      </c>
      <c r="AU12" s="2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12" s="2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12" s="2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12" s="2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12" s="29" t="e" vm="54">
        <f>IFERROR(INDEX(ImgDatabase!$L:$L, MATCH(Character[[#This Row],[NameHelper]], ImgDatabase!$E:$E, 0)), "")</f>
        <v>#VALUE!</v>
      </c>
      <c r="BA12" s="39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12" s="2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12" s="40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12" s="71">
        <f t="shared" si="3"/>
        <v>15</v>
      </c>
      <c r="BE12" s="28">
        <f t="shared" si="4"/>
        <v>0</v>
      </c>
      <c r="BF12" s="72">
        <f t="shared" si="5"/>
        <v>0</v>
      </c>
      <c r="BG12" s="71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12" s="2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12" s="2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12" s="2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15</v>
      </c>
      <c r="BK12" s="2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12" s="2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12" s="2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12" s="2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12" s="72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12" s="91">
        <f t="shared" si="6"/>
        <v>15</v>
      </c>
      <c r="BQ12" s="34">
        <f t="shared" si="7"/>
        <v>0</v>
      </c>
      <c r="BR12" s="92">
        <f t="shared" si="8"/>
        <v>0</v>
      </c>
      <c r="BT12" s="100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12" s="35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12" s="35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710000</v>
      </c>
      <c r="BW12" s="35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12" s="101">
        <f>SUM(Table40[[#This Row],[Ascension
Cost]:[Talent Cost
(Burst)]])</f>
        <v>710000</v>
      </c>
    </row>
    <row r="13" spans="1:76" ht="30" customHeight="1" x14ac:dyDescent="0.25">
      <c r="A13" s="52">
        <f>SUBTOTAL(3,$D$3:Character[[#This Row],[NameHelper]])</f>
        <v>11</v>
      </c>
      <c r="B13" s="31" t="e" vm="817">
        <f>IFERROR(INDEX(ImgDatabase!$D:$D, MATCH(Character[[#This Row],[NameHelper]], ImgDatabase!$E:$E, 0)), "")</f>
        <v>#VALUE!</v>
      </c>
      <c r="C13" s="30" t="s">
        <v>578</v>
      </c>
      <c r="D13" s="30" t="s">
        <v>578</v>
      </c>
      <c r="E13" s="29" t="e" vm="112">
        <f>IFERROR(INDEX(ImgDatabase!$G:$G, MATCH(Character[[#This Row],[NameHelper]], ImgDatabase!$E:$E, 0)), "")</f>
        <v>#VALUE!</v>
      </c>
      <c r="F13" s="29" t="e" vm="551">
        <f>IFERROR(INDEX(CharacterDetailsImg[Weapon Type], MATCH(Character[[#This Row],[NameHelper]], CharacterDetailsImg[Name], 0)), "")</f>
        <v>#VALUE!</v>
      </c>
      <c r="G13" s="53">
        <f>IFERROR(INDEX(CharacterDetailsImg[Released Version], MATCH(Character[[#This Row],[NameHelper]], CharacterDetailsImg[Name], 0)), "")</f>
        <v>3.1</v>
      </c>
      <c r="H13" s="108">
        <v>21</v>
      </c>
      <c r="I13" s="29">
        <v>1</v>
      </c>
      <c r="J13" s="29">
        <v>1</v>
      </c>
      <c r="K13" s="40">
        <v>1</v>
      </c>
      <c r="M13" s="108">
        <v>81</v>
      </c>
      <c r="N13" s="29">
        <v>1</v>
      </c>
      <c r="O13" s="29">
        <v>9</v>
      </c>
      <c r="P13" s="40">
        <v>9</v>
      </c>
      <c r="R13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250</v>
      </c>
      <c r="T13" s="108" t="e" vm="402">
        <f>IFERROR(INDEX(ImgDatabase!$I:$I, MATCH(Character[[#This Row],[NameHelper]], ImgDatabase!$E:$E, 0)), "")</f>
        <v>#VALUE!</v>
      </c>
      <c r="U13" s="61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46</v>
      </c>
      <c r="W13" s="64" t="e" vm="404">
        <f>IFERROR(INDEX(ImgDatabase!$K:$K, MATCH(Character[[#This Row],[NameHelper]], ImgDatabase!$E:$E, 0)), "")</f>
        <v>#VALUE!</v>
      </c>
      <c r="X13" s="26">
        <f t="shared" si="0"/>
        <v>44</v>
      </c>
      <c r="Y13" s="26">
        <f t="shared" si="1"/>
        <v>43</v>
      </c>
      <c r="Z13" s="73">
        <f t="shared" si="2"/>
        <v>25</v>
      </c>
      <c r="AA13" s="26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13" s="26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13" s="26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13" s="26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22</v>
      </c>
      <c r="AE13" s="26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21</v>
      </c>
      <c r="AF13" s="26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3</v>
      </c>
      <c r="AG13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H13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I13" s="73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K13" s="112" t="e" vm="239">
        <f>IFERROR(INDEX(ImgDatabase!$J:$J, MATCH(Character[[#This Row],[NameHelper]], ImgDatabase!$E:$E, 0)), "")</f>
        <v>#VALUE!</v>
      </c>
      <c r="AL13" s="73">
        <f>SUM(WeeklyBoss[[#This Row],[NA]:[Burst]])</f>
        <v>8</v>
      </c>
      <c r="AM13" s="27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13" s="27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13" s="61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13" s="107" t="e" vm="76">
        <f>IFERROR(INDEX(ImgDatabase!$M:$M, MATCH(Character[[#This Row],[NameHelper]], ImgDatabase!$E:$E, 0)), "")</f>
        <v>#VALUE!</v>
      </c>
      <c r="AR13" s="61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T13" s="107" t="e" vm="117">
        <f>IFERROR(INDEX(ImgDatabase!$N:$N, MATCH(Character[[#This Row],[NameHelper]], ImgDatabase!$E:$E, 0)), "")</f>
        <v>#VALUE!</v>
      </c>
      <c r="AU13" s="2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13" s="2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W13" s="2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X13" s="2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13" s="27" t="e" vm="32">
        <f>IFERROR(INDEX(ImgDatabase!$L:$L, MATCH(Character[[#This Row],[NameHelper]], ImgDatabase!$E:$E, 0)), "")</f>
        <v>#VALUE!</v>
      </c>
      <c r="BA13" s="8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BB13" s="2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BC13" s="61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BD13" s="82">
        <f t="shared" si="3"/>
        <v>38</v>
      </c>
      <c r="BE13" s="26">
        <f t="shared" si="4"/>
        <v>44</v>
      </c>
      <c r="BF13" s="73">
        <f t="shared" si="5"/>
        <v>12</v>
      </c>
      <c r="BG13" s="82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13" s="26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13" s="26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13" s="26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13" s="26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13" s="26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13" s="26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13" s="26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13" s="73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13" s="89">
        <f t="shared" si="6"/>
        <v>74</v>
      </c>
      <c r="BQ13" s="32">
        <f t="shared" si="7"/>
        <v>74</v>
      </c>
      <c r="BR13" s="90">
        <f t="shared" si="8"/>
        <v>27</v>
      </c>
      <c r="BT13" s="102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1397530</v>
      </c>
      <c r="BU13" s="33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13" s="33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13" s="33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13" s="103">
        <f>SUM(Table40[[#This Row],[Ascension
Cost]:[Talent Cost
(Burst)]])</f>
        <v>3302530</v>
      </c>
    </row>
    <row r="14" spans="1:76" ht="30" customHeight="1" x14ac:dyDescent="0.25">
      <c r="A14" s="52">
        <f>SUBTOTAL(3,$D$3:Character[[#This Row],[NameHelper]])</f>
        <v>12</v>
      </c>
      <c r="B14" s="31" t="e" vm="818">
        <f>IFERROR(INDEX(ImgDatabase!$D:$D, MATCH(Character[[#This Row],[NameHelper]], ImgDatabase!$E:$E, 0)), "")</f>
        <v>#VALUE!</v>
      </c>
      <c r="C14" s="30" t="s">
        <v>548</v>
      </c>
      <c r="D14" s="30" t="s">
        <v>548</v>
      </c>
      <c r="E14" s="29" t="e" vm="164">
        <f>IFERROR(INDEX(ImgDatabase!$G:$G, MATCH(Character[[#This Row],[NameHelper]], ImgDatabase!$E:$E, 0)), "")</f>
        <v>#VALUE!</v>
      </c>
      <c r="F14" s="29" t="e" vm="557">
        <f>IFERROR(INDEX(CharacterDetailsImg[Weapon Type], MATCH(Character[[#This Row],[NameHelper]], CharacterDetailsImg[Name], 0)), "")</f>
        <v>#VALUE!</v>
      </c>
      <c r="G14" s="53">
        <f>IFERROR(INDEX(CharacterDetailsImg[Released Version], MATCH(Character[[#This Row],[NameHelper]], CharacterDetailsImg[Name], 0)), "")</f>
        <v>4.2</v>
      </c>
      <c r="H14" s="108">
        <v>81</v>
      </c>
      <c r="I14" s="29">
        <v>1</v>
      </c>
      <c r="J14" s="29">
        <v>6</v>
      </c>
      <c r="K14" s="40">
        <v>6</v>
      </c>
      <c r="M14" s="108">
        <v>81</v>
      </c>
      <c r="N14" s="29">
        <v>1</v>
      </c>
      <c r="O14" s="29">
        <v>9</v>
      </c>
      <c r="P14" s="40">
        <v>9</v>
      </c>
      <c r="R14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14" s="108" t="e" vm="565">
        <f>IFERROR(INDEX(ImgDatabase!$I:$I, MATCH(Character[[#This Row],[NameHelper]], ImgDatabase!$E:$E, 0)), "")</f>
        <v>#VALUE!</v>
      </c>
      <c r="U14" s="40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0</v>
      </c>
      <c r="W14" s="64" t="e" vm="94">
        <f>IFERROR(INDEX(ImgDatabase!$K:$K, MATCH(Character[[#This Row],[NameHelper]], ImgDatabase!$E:$E, 0)), "")</f>
        <v>#VALUE!</v>
      </c>
      <c r="X14" s="28">
        <f t="shared" si="0"/>
        <v>44</v>
      </c>
      <c r="Y14" s="28">
        <f t="shared" si="1"/>
        <v>22</v>
      </c>
      <c r="Z14" s="72">
        <f t="shared" si="2"/>
        <v>22</v>
      </c>
      <c r="AA14" s="28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14" s="28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14" s="28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14" s="28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22</v>
      </c>
      <c r="AE14" s="28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0</v>
      </c>
      <c r="AF14" s="28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0</v>
      </c>
      <c r="AG14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H14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I14" s="72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K14" s="64" t="e" vm="73">
        <f>IFERROR(INDEX(ImgDatabase!$J:$J, MATCH(Character[[#This Row],[NameHelper]], ImgDatabase!$E:$E, 0)), "")</f>
        <v>#VALUE!</v>
      </c>
      <c r="AL14" s="72">
        <f>SUM(WeeklyBoss[[#This Row],[NA]:[Burst]])</f>
        <v>8</v>
      </c>
      <c r="AM14" s="2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14" s="2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14" s="40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14" s="108" t="e" vm="566">
        <f>IFERROR(INDEX(ImgDatabase!$M:$M, MATCH(Character[[#This Row],[NameHelper]], ImgDatabase!$E:$E, 0)), "")</f>
        <v>#VALUE!</v>
      </c>
      <c r="AR14" s="40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14" s="108" t="e" vm="168">
        <f>IFERROR(INDEX(ImgDatabase!$N:$N, MATCH(Character[[#This Row],[NameHelper]], ImgDatabase!$E:$E, 0)), "")</f>
        <v>#VALUE!</v>
      </c>
      <c r="AU14" s="2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14" s="2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14" s="2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14" s="2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14" s="29" t="e" vm="260">
        <f>IFERROR(INDEX(ImgDatabase!$L:$L, MATCH(Character[[#This Row],[NameHelper]], ImgDatabase!$E:$E, 0)), "")</f>
        <v>#VALUE!</v>
      </c>
      <c r="BA14" s="39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14" s="2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14" s="40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14" s="71">
        <f t="shared" si="3"/>
        <v>38</v>
      </c>
      <c r="BE14" s="28">
        <f t="shared" si="4"/>
        <v>0</v>
      </c>
      <c r="BF14" s="72">
        <f t="shared" si="5"/>
        <v>0</v>
      </c>
      <c r="BG14" s="71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14" s="2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14" s="2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14" s="2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14" s="2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14" s="2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14" s="2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14" s="2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14" s="72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14" s="91">
        <f t="shared" si="6"/>
        <v>38</v>
      </c>
      <c r="BQ14" s="34">
        <f t="shared" si="7"/>
        <v>0</v>
      </c>
      <c r="BR14" s="92">
        <f t="shared" si="8"/>
        <v>0</v>
      </c>
      <c r="BT14" s="100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14" s="35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14" s="35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830000</v>
      </c>
      <c r="BW14" s="35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830000</v>
      </c>
      <c r="BX14" s="101">
        <f>SUM(Table40[[#This Row],[Ascension
Cost]:[Talent Cost
(Burst)]])</f>
        <v>1660000</v>
      </c>
    </row>
    <row r="15" spans="1:76" ht="30" customHeight="1" x14ac:dyDescent="0.25">
      <c r="A15" s="52">
        <f>SUBTOTAL(3,$D$3:Character[[#This Row],[NameHelper]])</f>
        <v>13</v>
      </c>
      <c r="B15" s="31" t="e" vm="819">
        <f>IFERROR(INDEX(ImgDatabase!$D:$D, MATCH(Character[[#This Row],[NameHelper]], ImgDatabase!$E:$E, 0)), "")</f>
        <v>#VALUE!</v>
      </c>
      <c r="C15" s="30" t="s">
        <v>580</v>
      </c>
      <c r="D15" s="30" t="s">
        <v>580</v>
      </c>
      <c r="E15" s="29" t="e" vm="50">
        <f>IFERROR(INDEX(ImgDatabase!$G:$G, MATCH(Character[[#This Row],[NameHelper]], ImgDatabase!$E:$E, 0)), "")</f>
        <v>#VALUE!</v>
      </c>
      <c r="F15" s="29" t="e" vm="551">
        <f>IFERROR(INDEX(CharacterDetailsImg[Weapon Type], MATCH(Character[[#This Row],[NameHelper]], CharacterDetailsImg[Name], 0)), "")</f>
        <v>#VALUE!</v>
      </c>
      <c r="G15" s="53">
        <f>IFERROR(INDEX(CharacterDetailsImg[Released Version], MATCH(Character[[#This Row],[NameHelper]], CharacterDetailsImg[Name], 0)), "")</f>
        <v>4.3</v>
      </c>
      <c r="H15" s="108">
        <v>0</v>
      </c>
      <c r="I15" s="29">
        <v>0</v>
      </c>
      <c r="J15" s="29">
        <v>0</v>
      </c>
      <c r="K15" s="40">
        <v>0</v>
      </c>
      <c r="M15" s="108">
        <v>81</v>
      </c>
      <c r="N15" s="29">
        <v>1</v>
      </c>
      <c r="O15" s="29">
        <v>9</v>
      </c>
      <c r="P15" s="40">
        <v>9</v>
      </c>
      <c r="R15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15" s="108" t="e" vm="92">
        <f>IFERROR(INDEX(ImgDatabase!$I:$I, MATCH(Character[[#This Row],[NameHelper]], ImgDatabase!$E:$E, 0)), "")</f>
        <v>#VALUE!</v>
      </c>
      <c r="U15" s="61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0</v>
      </c>
      <c r="W15" s="64" t="e" vm="259">
        <f>IFERROR(INDEX(ImgDatabase!$K:$K, MATCH(Character[[#This Row],[NameHelper]], ImgDatabase!$E:$E, 0)), "")</f>
        <v>#VALUE!</v>
      </c>
      <c r="X15" s="26">
        <f t="shared" si="0"/>
        <v>0</v>
      </c>
      <c r="Y15" s="26">
        <f t="shared" si="1"/>
        <v>0</v>
      </c>
      <c r="Z15" s="73">
        <f t="shared" si="2"/>
        <v>0</v>
      </c>
      <c r="AA15" s="26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15" s="26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15" s="26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15" s="26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0</v>
      </c>
      <c r="AE15" s="26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0</v>
      </c>
      <c r="AF15" s="26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0</v>
      </c>
      <c r="AG15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H15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I15" s="73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K15" s="112" t="e" vm="594">
        <f>IFERROR(INDEX(ImgDatabase!$J:$J, MATCH(Character[[#This Row],[NameHelper]], ImgDatabase!$E:$E, 0)), "")</f>
        <v>#VALUE!</v>
      </c>
      <c r="AL15" s="73">
        <f>SUM(WeeklyBoss[[#This Row],[NA]:[Burst]])</f>
        <v>0</v>
      </c>
      <c r="AM15" s="27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15" s="27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15" s="61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15" s="107" t="e" vm="261">
        <f>IFERROR(INDEX(ImgDatabase!$M:$M, MATCH(Character[[#This Row],[NameHelper]], ImgDatabase!$E:$E, 0)), "")</f>
        <v>#VALUE!</v>
      </c>
      <c r="AR15" s="61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15" s="107" t="e" vm="56">
        <f>IFERROR(INDEX(ImgDatabase!$N:$N, MATCH(Character[[#This Row],[NameHelper]], ImgDatabase!$E:$E, 0)), "")</f>
        <v>#VALUE!</v>
      </c>
      <c r="AU15" s="2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15" s="2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15" s="2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15" s="2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15" s="27" t="e" vm="260">
        <f>IFERROR(INDEX(ImgDatabase!$L:$L, MATCH(Character[[#This Row],[NameHelper]], ImgDatabase!$E:$E, 0)), "")</f>
        <v>#VALUE!</v>
      </c>
      <c r="BA15" s="8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15" s="2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15" s="61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15" s="82">
        <f t="shared" si="3"/>
        <v>0</v>
      </c>
      <c r="BE15" s="26">
        <f t="shared" si="4"/>
        <v>0</v>
      </c>
      <c r="BF15" s="73">
        <f t="shared" si="5"/>
        <v>0</v>
      </c>
      <c r="BG15" s="82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15" s="26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15" s="26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15" s="26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15" s="26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15" s="26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15" s="26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15" s="26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15" s="73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15" s="89">
        <f t="shared" si="6"/>
        <v>0</v>
      </c>
      <c r="BQ15" s="32">
        <f t="shared" si="7"/>
        <v>0</v>
      </c>
      <c r="BR15" s="90">
        <f t="shared" si="8"/>
        <v>0</v>
      </c>
      <c r="BT15" s="102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15" s="33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15" s="33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15" s="33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15" s="103">
        <f>SUM(Table40[[#This Row],[Ascension
Cost]:[Talent Cost
(Burst)]])</f>
        <v>0</v>
      </c>
    </row>
    <row r="16" spans="1:76" ht="30" customHeight="1" x14ac:dyDescent="0.25">
      <c r="A16" s="52">
        <f>SUBTOTAL(3,$D$3:Character[[#This Row],[NameHelper]])</f>
        <v>14</v>
      </c>
      <c r="B16" s="31" t="e" vm="820">
        <f>IFERROR(INDEX(ImgDatabase!$D:$D, MATCH(Character[[#This Row],[NameHelper]], ImgDatabase!$E:$E, 0)), "")</f>
        <v>#VALUE!</v>
      </c>
      <c r="C16" s="30" t="s">
        <v>128</v>
      </c>
      <c r="D16" s="30" t="s">
        <v>128</v>
      </c>
      <c r="E16" s="29" t="e" vm="6">
        <f>IFERROR(INDEX(ImgDatabase!$G:$G, MATCH(Character[[#This Row],[NameHelper]], ImgDatabase!$E:$E, 0)), "")</f>
        <v>#VALUE!</v>
      </c>
      <c r="F16" s="29" t="e" vm="5">
        <f>IFERROR(INDEX(CharacterDetailsImg[Weapon Type], MATCH(Character[[#This Row],[NameHelper]], CharacterDetailsImg[Name], 0)), "")</f>
        <v>#VALUE!</v>
      </c>
      <c r="G16" s="53">
        <f>IFERROR(INDEX(CharacterDetailsImg[Released Version], MATCH(Character[[#This Row],[NameHelper]], CharacterDetailsImg[Name], 0)), "")</f>
        <v>4.5</v>
      </c>
      <c r="H16" s="108">
        <v>0</v>
      </c>
      <c r="I16" s="29">
        <v>0</v>
      </c>
      <c r="J16" s="29">
        <v>0</v>
      </c>
      <c r="K16" s="40">
        <v>0</v>
      </c>
      <c r="M16" s="108">
        <v>81</v>
      </c>
      <c r="N16" s="29">
        <v>1</v>
      </c>
      <c r="O16" s="29">
        <v>9</v>
      </c>
      <c r="P16" s="40">
        <v>9</v>
      </c>
      <c r="R16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16" s="108" t="e" vm="72">
        <f>IFERROR(INDEX(ImgDatabase!$I:$I, MATCH(Character[[#This Row],[NameHelper]], ImgDatabase!$E:$E, 0)), "")</f>
        <v>#VALUE!</v>
      </c>
      <c r="U16" s="40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0</v>
      </c>
      <c r="W16" s="64" t="e" vm="74">
        <f>IFERROR(INDEX(ImgDatabase!$K:$K, MATCH(Character[[#This Row],[NameHelper]], ImgDatabase!$E:$E, 0)), "")</f>
        <v>#VALUE!</v>
      </c>
      <c r="X16" s="28">
        <f t="shared" si="0"/>
        <v>0</v>
      </c>
      <c r="Y16" s="28">
        <f t="shared" si="1"/>
        <v>0</v>
      </c>
      <c r="Z16" s="72">
        <f t="shared" si="2"/>
        <v>0</v>
      </c>
      <c r="AA16" s="28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16" s="28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16" s="28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16" s="28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0</v>
      </c>
      <c r="AE16" s="28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0</v>
      </c>
      <c r="AF16" s="28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0</v>
      </c>
      <c r="AG16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H16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I16" s="72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K16" s="64" t="e" vm="73">
        <f>IFERROR(INDEX(ImgDatabase!$J:$J, MATCH(Character[[#This Row],[NameHelper]], ImgDatabase!$E:$E, 0)), "")</f>
        <v>#VALUE!</v>
      </c>
      <c r="AL16" s="72">
        <f>SUM(WeeklyBoss[[#This Row],[NA]:[Burst]])</f>
        <v>0</v>
      </c>
      <c r="AM16" s="2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16" s="2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16" s="40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16" s="108" t="e" vm="76">
        <f>IFERROR(INDEX(ImgDatabase!$M:$M, MATCH(Character[[#This Row],[NameHelper]], ImgDatabase!$E:$E, 0)), "")</f>
        <v>#VALUE!</v>
      </c>
      <c r="AR16" s="40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16" s="108" t="e" vm="12">
        <f>IFERROR(INDEX(ImgDatabase!$N:$N, MATCH(Character[[#This Row],[NameHelper]], ImgDatabase!$E:$E, 0)), "")</f>
        <v>#VALUE!</v>
      </c>
      <c r="AU16" s="2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16" s="2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16" s="2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16" s="2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16" s="29" t="e" vm="75">
        <f>IFERROR(INDEX(ImgDatabase!$L:$L, MATCH(Character[[#This Row],[NameHelper]], ImgDatabase!$E:$E, 0)), "")</f>
        <v>#VALUE!</v>
      </c>
      <c r="BA16" s="39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16" s="2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16" s="40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16" s="71">
        <f t="shared" si="3"/>
        <v>0</v>
      </c>
      <c r="BE16" s="28">
        <f t="shared" si="4"/>
        <v>0</v>
      </c>
      <c r="BF16" s="72">
        <f t="shared" si="5"/>
        <v>0</v>
      </c>
      <c r="BG16" s="71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16" s="2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16" s="2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16" s="2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16" s="2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16" s="2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16" s="2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16" s="2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16" s="72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16" s="91">
        <f t="shared" si="6"/>
        <v>0</v>
      </c>
      <c r="BQ16" s="34">
        <f t="shared" si="7"/>
        <v>0</v>
      </c>
      <c r="BR16" s="92">
        <f t="shared" si="8"/>
        <v>0</v>
      </c>
      <c r="BT16" s="100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16" s="35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16" s="35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16" s="35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16" s="101">
        <f>SUM(Table40[[#This Row],[Ascension
Cost]:[Talent Cost
(Burst)]])</f>
        <v>0</v>
      </c>
    </row>
    <row r="17" spans="1:76" ht="30" customHeight="1" x14ac:dyDescent="0.25">
      <c r="A17" s="52">
        <f>SUBTOTAL(3,$D$3:Character[[#This Row],[NameHelper]])</f>
        <v>15</v>
      </c>
      <c r="B17" s="31" t="e" vm="821">
        <f>IFERROR(INDEX(ImgDatabase!$D:$D, MATCH(Character[[#This Row],[NameHelper]], ImgDatabase!$E:$E, 0)), "")</f>
        <v>#VALUE!</v>
      </c>
      <c r="C17" s="30" t="s">
        <v>499</v>
      </c>
      <c r="D17" s="30" t="s">
        <v>499</v>
      </c>
      <c r="E17" s="29" t="e" vm="164">
        <f>IFERROR(INDEX(ImgDatabase!$G:$G, MATCH(Character[[#This Row],[NameHelper]], ImgDatabase!$E:$E, 0)), "")</f>
        <v>#VALUE!</v>
      </c>
      <c r="F17" s="29" t="e" vm="487">
        <f>IFERROR(INDEX(CharacterDetailsImg[Weapon Type], MATCH(Character[[#This Row],[NameHelper]], CharacterDetailsImg[Name], 0)), "")</f>
        <v>#VALUE!</v>
      </c>
      <c r="G17" s="53">
        <f>IFERROR(INDEX(CharacterDetailsImg[Released Version], MATCH(Character[[#This Row],[NameHelper]], CharacterDetailsImg[Name], 0)), "")</f>
        <v>1</v>
      </c>
      <c r="H17" s="108">
        <v>21</v>
      </c>
      <c r="I17" s="29">
        <v>1</v>
      </c>
      <c r="J17" s="29">
        <v>1</v>
      </c>
      <c r="K17" s="40">
        <v>1</v>
      </c>
      <c r="M17" s="108">
        <v>81</v>
      </c>
      <c r="N17" s="29">
        <v>1</v>
      </c>
      <c r="O17" s="29">
        <v>9</v>
      </c>
      <c r="P17" s="40">
        <v>9</v>
      </c>
      <c r="R17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250</v>
      </c>
      <c r="T17" s="108" t="e" vm="165">
        <f>IFERROR(INDEX(ImgDatabase!$I:$I, MATCH(Character[[#This Row],[NameHelper]], ImgDatabase!$E:$E, 0)), "")</f>
        <v>#VALUE!</v>
      </c>
      <c r="U17" s="61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46</v>
      </c>
      <c r="W17" s="64" t="e" vm="151">
        <f>IFERROR(INDEX(ImgDatabase!$K:$K, MATCH(Character[[#This Row],[NameHelper]], ImgDatabase!$E:$E, 0)), "")</f>
        <v>#VALUE!</v>
      </c>
      <c r="X17" s="26">
        <f t="shared" si="0"/>
        <v>44</v>
      </c>
      <c r="Y17" s="26">
        <f t="shared" si="1"/>
        <v>43</v>
      </c>
      <c r="Z17" s="73">
        <f t="shared" si="2"/>
        <v>25</v>
      </c>
      <c r="AA17" s="26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17" s="26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17" s="26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17" s="26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22</v>
      </c>
      <c r="AE17" s="26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21</v>
      </c>
      <c r="AF17" s="26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3</v>
      </c>
      <c r="AG17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H17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I17" s="73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K17" s="112" t="e" vm="372">
        <f>IFERROR(INDEX(ImgDatabase!$J:$J, MATCH(Character[[#This Row],[NameHelper]], ImgDatabase!$E:$E, 0)), "")</f>
        <v>#VALUE!</v>
      </c>
      <c r="AL17" s="73">
        <f>SUM(WeeklyBoss[[#This Row],[NA]:[Burst]])</f>
        <v>8</v>
      </c>
      <c r="AM17" s="27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17" s="27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17" s="61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17" s="107" t="e" vm="212">
        <f>IFERROR(INDEX(ImgDatabase!$M:$M, MATCH(Character[[#This Row],[NameHelper]], ImgDatabase!$E:$E, 0)), "")</f>
        <v>#VALUE!</v>
      </c>
      <c r="AR17" s="61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T17" s="107" t="e" vm="168">
        <f>IFERROR(INDEX(ImgDatabase!$N:$N, MATCH(Character[[#This Row],[NameHelper]], ImgDatabase!$E:$E, 0)), "")</f>
        <v>#VALUE!</v>
      </c>
      <c r="AU17" s="2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17" s="2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W17" s="2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X17" s="2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17" s="27" t="e" vm="133">
        <f>IFERROR(INDEX(ImgDatabase!$L:$L, MATCH(Character[[#This Row],[NameHelper]], ImgDatabase!$E:$E, 0)), "")</f>
        <v>#VALUE!</v>
      </c>
      <c r="BA17" s="8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BB17" s="2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BC17" s="61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BD17" s="82">
        <f t="shared" si="3"/>
        <v>38</v>
      </c>
      <c r="BE17" s="26">
        <f t="shared" si="4"/>
        <v>44</v>
      </c>
      <c r="BF17" s="73">
        <f t="shared" si="5"/>
        <v>12</v>
      </c>
      <c r="BG17" s="82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17" s="26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17" s="26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17" s="26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17" s="26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17" s="26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17" s="26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17" s="26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17" s="73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17" s="89">
        <f t="shared" si="6"/>
        <v>74</v>
      </c>
      <c r="BQ17" s="32">
        <f t="shared" si="7"/>
        <v>74</v>
      </c>
      <c r="BR17" s="90">
        <f t="shared" si="8"/>
        <v>27</v>
      </c>
      <c r="BT17" s="102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1397530</v>
      </c>
      <c r="BU17" s="33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17" s="33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17" s="33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17" s="103">
        <f>SUM(Table40[[#This Row],[Ascension
Cost]:[Talent Cost
(Burst)]])</f>
        <v>3302530</v>
      </c>
    </row>
    <row r="18" spans="1:76" ht="30" customHeight="1" x14ac:dyDescent="0.25">
      <c r="A18" s="52">
        <f>SUBTOTAL(3,$D$3:Character[[#This Row],[NameHelper]])</f>
        <v>16</v>
      </c>
      <c r="B18" s="31" t="e" vm="822">
        <f>IFERROR(INDEX(ImgDatabase!$D:$D, MATCH(Character[[#This Row],[NameHelper]], ImgDatabase!$E:$E, 0)), "")</f>
        <v>#VALUE!</v>
      </c>
      <c r="C18" s="30" t="s">
        <v>143</v>
      </c>
      <c r="D18" s="30" t="s">
        <v>143</v>
      </c>
      <c r="E18" s="29" t="e" vm="91">
        <f>IFERROR(INDEX(ImgDatabase!$G:$G, MATCH(Character[[#This Row],[NameHelper]], ImgDatabase!$E:$E, 0)), "")</f>
        <v>#VALUE!</v>
      </c>
      <c r="F18" s="29" t="e" vm="5">
        <f>IFERROR(INDEX(CharacterDetailsImg[Weapon Type], MATCH(Character[[#This Row],[NameHelper]], CharacterDetailsImg[Name], 0)), "")</f>
        <v>#VALUE!</v>
      </c>
      <c r="G18" s="53">
        <f>IFERROR(INDEX(CharacterDetailsImg[Released Version], MATCH(Character[[#This Row],[NameHelper]], CharacterDetailsImg[Name], 0)), "")</f>
        <v>4.8</v>
      </c>
      <c r="H18" s="108">
        <v>0</v>
      </c>
      <c r="I18" s="29">
        <v>0</v>
      </c>
      <c r="J18" s="29">
        <v>0</v>
      </c>
      <c r="K18" s="40">
        <v>0</v>
      </c>
      <c r="M18" s="108">
        <v>81</v>
      </c>
      <c r="N18" s="29">
        <v>1</v>
      </c>
      <c r="O18" s="29">
        <v>9</v>
      </c>
      <c r="P18" s="40">
        <v>9</v>
      </c>
      <c r="R18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18" s="108" t="e" vm="92">
        <f>IFERROR(INDEX(ImgDatabase!$I:$I, MATCH(Character[[#This Row],[NameHelper]], ImgDatabase!$E:$E, 0)), "")</f>
        <v>#VALUE!</v>
      </c>
      <c r="U18" s="40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0</v>
      </c>
      <c r="W18" s="64" t="e" vm="94">
        <f>IFERROR(INDEX(ImgDatabase!$K:$K, MATCH(Character[[#This Row],[NameHelper]], ImgDatabase!$E:$E, 0)), "")</f>
        <v>#VALUE!</v>
      </c>
      <c r="X18" s="28">
        <f t="shared" si="0"/>
        <v>0</v>
      </c>
      <c r="Y18" s="28">
        <f t="shared" si="1"/>
        <v>0</v>
      </c>
      <c r="Z18" s="72">
        <f t="shared" si="2"/>
        <v>0</v>
      </c>
      <c r="AA18" s="28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18" s="28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18" s="28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18" s="28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0</v>
      </c>
      <c r="AE18" s="28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0</v>
      </c>
      <c r="AF18" s="28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0</v>
      </c>
      <c r="AG18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H18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I18" s="72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K18" s="64" t="e" vm="93">
        <f>IFERROR(INDEX(ImgDatabase!$J:$J, MATCH(Character[[#This Row],[NameHelper]], ImgDatabase!$E:$E, 0)), "")</f>
        <v>#VALUE!</v>
      </c>
      <c r="AL18" s="72">
        <f>SUM(WeeklyBoss[[#This Row],[NA]:[Burst]])</f>
        <v>0</v>
      </c>
      <c r="AM18" s="2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18" s="2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18" s="40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18" s="108" t="e" vm="96">
        <f>IFERROR(INDEX(ImgDatabase!$M:$M, MATCH(Character[[#This Row],[NameHelper]], ImgDatabase!$E:$E, 0)), "")</f>
        <v>#VALUE!</v>
      </c>
      <c r="AR18" s="40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18" s="108" t="e" vm="97">
        <f>IFERROR(INDEX(ImgDatabase!$N:$N, MATCH(Character[[#This Row],[NameHelper]], ImgDatabase!$E:$E, 0)), "")</f>
        <v>#VALUE!</v>
      </c>
      <c r="AU18" s="2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18" s="2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18" s="2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18" s="2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18" s="29" t="e" vm="95">
        <f>IFERROR(INDEX(ImgDatabase!$L:$L, MATCH(Character[[#This Row],[NameHelper]], ImgDatabase!$E:$E, 0)), "")</f>
        <v>#VALUE!</v>
      </c>
      <c r="BA18" s="39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18" s="2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18" s="40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18" s="71">
        <f t="shared" si="3"/>
        <v>0</v>
      </c>
      <c r="BE18" s="28">
        <f t="shared" si="4"/>
        <v>0</v>
      </c>
      <c r="BF18" s="72">
        <f t="shared" si="5"/>
        <v>0</v>
      </c>
      <c r="BG18" s="71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18" s="2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18" s="2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18" s="2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18" s="2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18" s="2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18" s="2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18" s="2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18" s="72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18" s="91">
        <f t="shared" si="6"/>
        <v>0</v>
      </c>
      <c r="BQ18" s="34">
        <f t="shared" si="7"/>
        <v>0</v>
      </c>
      <c r="BR18" s="92">
        <f t="shared" si="8"/>
        <v>0</v>
      </c>
      <c r="BT18" s="100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18" s="35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18" s="35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18" s="35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18" s="101">
        <f>SUM(Table40[[#This Row],[Ascension
Cost]:[Talent Cost
(Burst)]])</f>
        <v>0</v>
      </c>
    </row>
    <row r="19" spans="1:76" ht="30" customHeight="1" x14ac:dyDescent="0.25">
      <c r="A19" s="52">
        <f>SUBTOTAL(3,$D$3:Character[[#This Row],[NameHelper]])</f>
        <v>17</v>
      </c>
      <c r="B19" s="31" t="e" vm="823">
        <f>IFERROR(INDEX(ImgDatabase!$D:$D, MATCH(Character[[#This Row],[NameHelper]], ImgDatabase!$E:$E, 0)), "")</f>
        <v>#VALUE!</v>
      </c>
      <c r="C19" s="30" t="s">
        <v>399</v>
      </c>
      <c r="D19" s="30" t="s">
        <v>399</v>
      </c>
      <c r="E19" s="29" t="e" vm="28">
        <f>IFERROR(INDEX(ImgDatabase!$G:$G, MATCH(Character[[#This Row],[NameHelper]], ImgDatabase!$E:$E, 0)), "")</f>
        <v>#VALUE!</v>
      </c>
      <c r="F19" s="29" t="e" vm="359">
        <f>IFERROR(INDEX(CharacterDetailsImg[Weapon Type], MATCH(Character[[#This Row],[NameHelper]], CharacterDetailsImg[Name], 0)), "")</f>
        <v>#VALUE!</v>
      </c>
      <c r="G19" s="53">
        <f>IFERROR(INDEX(CharacterDetailsImg[Released Version], MATCH(Character[[#This Row],[NameHelper]], CharacterDetailsImg[Name], 0)), "")</f>
        <v>3</v>
      </c>
      <c r="H19" s="108">
        <v>22</v>
      </c>
      <c r="I19" s="29">
        <v>1</v>
      </c>
      <c r="J19" s="29">
        <v>1</v>
      </c>
      <c r="K19" s="40">
        <v>1</v>
      </c>
      <c r="M19" s="108">
        <v>81</v>
      </c>
      <c r="N19" s="29">
        <v>1</v>
      </c>
      <c r="O19" s="29">
        <v>9</v>
      </c>
      <c r="P19" s="40">
        <v>9</v>
      </c>
      <c r="R19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249</v>
      </c>
      <c r="T19" s="108" t="e" vm="383">
        <f>IFERROR(INDEX(ImgDatabase!$I:$I, MATCH(Character[[#This Row],[NameHelper]], ImgDatabase!$E:$E, 0)), "")</f>
        <v>#VALUE!</v>
      </c>
      <c r="U19" s="61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46</v>
      </c>
      <c r="W19" s="64" t="e" vm="270">
        <f>IFERROR(INDEX(ImgDatabase!$K:$K, MATCH(Character[[#This Row],[NameHelper]], ImgDatabase!$E:$E, 0)), "")</f>
        <v>#VALUE!</v>
      </c>
      <c r="X19" s="26">
        <f t="shared" si="0"/>
        <v>44</v>
      </c>
      <c r="Y19" s="26">
        <f t="shared" si="1"/>
        <v>43</v>
      </c>
      <c r="Z19" s="73">
        <f t="shared" si="2"/>
        <v>25</v>
      </c>
      <c r="AA19" s="26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19" s="26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19" s="26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19" s="26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22</v>
      </c>
      <c r="AE19" s="26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21</v>
      </c>
      <c r="AF19" s="26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3</v>
      </c>
      <c r="AG19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H19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I19" s="73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K19" s="112" t="e" vm="239">
        <f>IFERROR(INDEX(ImgDatabase!$J:$J, MATCH(Character[[#This Row],[NameHelper]], ImgDatabase!$E:$E, 0)), "")</f>
        <v>#VALUE!</v>
      </c>
      <c r="AL19" s="73">
        <f>SUM(WeeklyBoss[[#This Row],[NA]:[Burst]])</f>
        <v>8</v>
      </c>
      <c r="AM19" s="27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19" s="27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19" s="61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19" s="107" t="e" vm="384">
        <f>IFERROR(INDEX(ImgDatabase!$M:$M, MATCH(Character[[#This Row],[NameHelper]], ImgDatabase!$E:$E, 0)), "")</f>
        <v>#VALUE!</v>
      </c>
      <c r="AR19" s="61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T19" s="107" t="e" vm="34">
        <f>IFERROR(INDEX(ImgDatabase!$N:$N, MATCH(Character[[#This Row],[NameHelper]], ImgDatabase!$E:$E, 0)), "")</f>
        <v>#VALUE!</v>
      </c>
      <c r="AU19" s="2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19" s="2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W19" s="2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X19" s="2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19" s="27" t="e" vm="373">
        <f>IFERROR(INDEX(ImgDatabase!$L:$L, MATCH(Character[[#This Row],[NameHelper]], ImgDatabase!$E:$E, 0)), "")</f>
        <v>#VALUE!</v>
      </c>
      <c r="BA19" s="8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BB19" s="2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BC19" s="61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BD19" s="82">
        <f t="shared" si="3"/>
        <v>38</v>
      </c>
      <c r="BE19" s="26">
        <f t="shared" si="4"/>
        <v>44</v>
      </c>
      <c r="BF19" s="73">
        <f t="shared" si="5"/>
        <v>12</v>
      </c>
      <c r="BG19" s="82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19" s="26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19" s="26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19" s="26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19" s="26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19" s="26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19" s="26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19" s="26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19" s="73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19" s="89">
        <f t="shared" si="6"/>
        <v>74</v>
      </c>
      <c r="BQ19" s="32">
        <f t="shared" si="7"/>
        <v>74</v>
      </c>
      <c r="BR19" s="90">
        <f t="shared" si="8"/>
        <v>27</v>
      </c>
      <c r="BT19" s="102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1394170</v>
      </c>
      <c r="BU19" s="33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19" s="33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19" s="33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19" s="103">
        <f>SUM(Table40[[#This Row],[Ascension
Cost]:[Talent Cost
(Burst)]])</f>
        <v>3299170</v>
      </c>
    </row>
    <row r="20" spans="1:76" ht="30" customHeight="1" x14ac:dyDescent="0.25">
      <c r="A20" s="52">
        <f>SUBTOTAL(3,$D$3:Character[[#This Row],[NameHelper]])</f>
        <v>18</v>
      </c>
      <c r="B20" s="31" t="e" vm="824">
        <f>IFERROR(INDEX(ImgDatabase!$D:$D, MATCH(Character[[#This Row],[NameHelper]], ImgDatabase!$E:$E, 0)), "")</f>
        <v>#VALUE!</v>
      </c>
      <c r="C20" s="30" t="s">
        <v>582</v>
      </c>
      <c r="D20" s="30" t="s">
        <v>582</v>
      </c>
      <c r="E20" s="29" t="e" vm="91">
        <f>IFERROR(INDEX(ImgDatabase!$G:$G, MATCH(Character[[#This Row],[NameHelper]], ImgDatabase!$E:$E, 0)), "")</f>
        <v>#VALUE!</v>
      </c>
      <c r="F20" s="29" t="e" vm="551">
        <f>IFERROR(INDEX(CharacterDetailsImg[Weapon Type], MATCH(Character[[#This Row],[NameHelper]], CharacterDetailsImg[Name], 0)), "")</f>
        <v>#VALUE!</v>
      </c>
      <c r="G20" s="53">
        <f>IFERROR(INDEX(CharacterDetailsImg[Released Version], MATCH(Character[[#This Row],[NameHelper]], CharacterDetailsImg[Name], 0)), "")</f>
        <v>3.1</v>
      </c>
      <c r="H20" s="108">
        <v>0</v>
      </c>
      <c r="I20" s="29">
        <v>0</v>
      </c>
      <c r="J20" s="29">
        <v>0</v>
      </c>
      <c r="K20" s="40">
        <v>0</v>
      </c>
      <c r="M20" s="108">
        <v>81</v>
      </c>
      <c r="N20" s="29">
        <v>1</v>
      </c>
      <c r="O20" s="29">
        <v>9</v>
      </c>
      <c r="P20" s="40">
        <v>9</v>
      </c>
      <c r="R20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20" s="108" t="e" vm="510">
        <f>IFERROR(INDEX(ImgDatabase!$I:$I, MATCH(Character[[#This Row],[NameHelper]], ImgDatabase!$E:$E, 0)), "")</f>
        <v>#VALUE!</v>
      </c>
      <c r="U20" s="40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0</v>
      </c>
      <c r="W20" s="64" t="e" vm="404">
        <f>IFERROR(INDEX(ImgDatabase!$K:$K, MATCH(Character[[#This Row],[NameHelper]], ImgDatabase!$E:$E, 0)), "")</f>
        <v>#VALUE!</v>
      </c>
      <c r="X20" s="28">
        <f t="shared" si="0"/>
        <v>0</v>
      </c>
      <c r="Y20" s="28">
        <f t="shared" si="1"/>
        <v>0</v>
      </c>
      <c r="Z20" s="72">
        <f t="shared" si="2"/>
        <v>0</v>
      </c>
      <c r="AA20" s="28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20" s="28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20" s="28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20" s="28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0</v>
      </c>
      <c r="AE20" s="28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0</v>
      </c>
      <c r="AF20" s="28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0</v>
      </c>
      <c r="AG20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H20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I20" s="72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K20" s="64" t="e" vm="197">
        <f>IFERROR(INDEX(ImgDatabase!$J:$J, MATCH(Character[[#This Row],[NameHelper]], ImgDatabase!$E:$E, 0)), "")</f>
        <v>#VALUE!</v>
      </c>
      <c r="AL20" s="72">
        <f>SUM(WeeklyBoss[[#This Row],[NA]:[Burst]])</f>
        <v>0</v>
      </c>
      <c r="AM20" s="2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20" s="2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20" s="40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20" s="108" t="e" vm="608">
        <f>IFERROR(INDEX(ImgDatabase!$M:$M, MATCH(Character[[#This Row],[NameHelper]], ImgDatabase!$E:$E, 0)), "")</f>
        <v>#VALUE!</v>
      </c>
      <c r="AR20" s="40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20" s="108" t="e" vm="97">
        <f>IFERROR(INDEX(ImgDatabase!$N:$N, MATCH(Character[[#This Row],[NameHelper]], ImgDatabase!$E:$E, 0)), "")</f>
        <v>#VALUE!</v>
      </c>
      <c r="AU20" s="2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20" s="2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20" s="2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20" s="2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20" s="29" t="e" vm="10">
        <f>IFERROR(INDEX(ImgDatabase!$L:$L, MATCH(Character[[#This Row],[NameHelper]], ImgDatabase!$E:$E, 0)), "")</f>
        <v>#VALUE!</v>
      </c>
      <c r="BA20" s="39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20" s="2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20" s="40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20" s="71">
        <f t="shared" si="3"/>
        <v>0</v>
      </c>
      <c r="BE20" s="28">
        <f t="shared" si="4"/>
        <v>0</v>
      </c>
      <c r="BF20" s="72">
        <f t="shared" si="5"/>
        <v>0</v>
      </c>
      <c r="BG20" s="71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20" s="2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20" s="2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20" s="2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20" s="2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20" s="2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20" s="2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20" s="2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20" s="72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20" s="91">
        <f t="shared" si="6"/>
        <v>0</v>
      </c>
      <c r="BQ20" s="34">
        <f t="shared" si="7"/>
        <v>0</v>
      </c>
      <c r="BR20" s="92">
        <f t="shared" si="8"/>
        <v>0</v>
      </c>
      <c r="BT20" s="100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20" s="35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20" s="35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20" s="35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20" s="101">
        <f>SUM(Table40[[#This Row],[Ascension
Cost]:[Talent Cost
(Burst)]])</f>
        <v>0</v>
      </c>
    </row>
    <row r="21" spans="1:76" ht="30" customHeight="1" x14ac:dyDescent="0.25">
      <c r="A21" s="52">
        <f>SUBTOTAL(3,$D$3:Character[[#This Row],[NameHelper]])</f>
        <v>19</v>
      </c>
      <c r="B21" s="31" t="e" vm="825">
        <f>IFERROR(INDEX(ImgDatabase!$D:$D, MATCH(Character[[#This Row],[NameHelper]], ImgDatabase!$E:$E, 0)), "")</f>
        <v>#VALUE!</v>
      </c>
      <c r="C21" s="30" t="s">
        <v>503</v>
      </c>
      <c r="D21" s="30" t="s">
        <v>503</v>
      </c>
      <c r="E21" s="29" t="e" vm="50">
        <f>IFERROR(INDEX(ImgDatabase!$G:$G, MATCH(Character[[#This Row],[NameHelper]], ImgDatabase!$E:$E, 0)), "")</f>
        <v>#VALUE!</v>
      </c>
      <c r="F21" s="29" t="e" vm="487">
        <f>IFERROR(INDEX(CharacterDetailsImg[Weapon Type], MATCH(Character[[#This Row],[NameHelper]], CharacterDetailsImg[Name], 0)), "")</f>
        <v>#VALUE!</v>
      </c>
      <c r="G21" s="53">
        <f>IFERROR(INDEX(CharacterDetailsImg[Released Version], MATCH(Character[[#This Row],[NameHelper]], CharacterDetailsImg[Name], 0)), "")</f>
        <v>3.5</v>
      </c>
      <c r="H21" s="108">
        <v>0</v>
      </c>
      <c r="I21" s="29">
        <v>0</v>
      </c>
      <c r="J21" s="29">
        <v>0</v>
      </c>
      <c r="K21" s="40">
        <v>0</v>
      </c>
      <c r="M21" s="108">
        <v>81</v>
      </c>
      <c r="N21" s="29">
        <v>1</v>
      </c>
      <c r="O21" s="29">
        <v>9</v>
      </c>
      <c r="P21" s="40">
        <v>9</v>
      </c>
      <c r="R21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21" s="108" t="e" vm="402">
        <f>IFERROR(INDEX(ImgDatabase!$I:$I, MATCH(Character[[#This Row],[NameHelper]], ImgDatabase!$E:$E, 0)), "")</f>
        <v>#VALUE!</v>
      </c>
      <c r="U21" s="61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0</v>
      </c>
      <c r="W21" s="64" t="e" vm="270">
        <f>IFERROR(INDEX(ImgDatabase!$K:$K, MATCH(Character[[#This Row],[NameHelper]], ImgDatabase!$E:$E, 0)), "")</f>
        <v>#VALUE!</v>
      </c>
      <c r="X21" s="26">
        <f t="shared" si="0"/>
        <v>0</v>
      </c>
      <c r="Y21" s="26">
        <f t="shared" si="1"/>
        <v>0</v>
      </c>
      <c r="Z21" s="73">
        <f t="shared" si="2"/>
        <v>0</v>
      </c>
      <c r="AA21" s="26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21" s="26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21" s="26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21" s="26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0</v>
      </c>
      <c r="AE21" s="26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0</v>
      </c>
      <c r="AF21" s="26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0</v>
      </c>
      <c r="AG21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H21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I21" s="73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K21" s="112" t="e" vm="403">
        <f>IFERROR(INDEX(ImgDatabase!$J:$J, MATCH(Character[[#This Row],[NameHelper]], ImgDatabase!$E:$E, 0)), "")</f>
        <v>#VALUE!</v>
      </c>
      <c r="AL21" s="73">
        <f>SUM(WeeklyBoss[[#This Row],[NA]:[Burst]])</f>
        <v>0</v>
      </c>
      <c r="AM21" s="27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21" s="27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21" s="61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21" s="107" t="e" vm="33">
        <f>IFERROR(INDEX(ImgDatabase!$M:$M, MATCH(Character[[#This Row],[NameHelper]], ImgDatabase!$E:$E, 0)), "")</f>
        <v>#VALUE!</v>
      </c>
      <c r="AR21" s="61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21" s="107" t="e" vm="56">
        <f>IFERROR(INDEX(ImgDatabase!$N:$N, MATCH(Character[[#This Row],[NameHelper]], ImgDatabase!$E:$E, 0)), "")</f>
        <v>#VALUE!</v>
      </c>
      <c r="AU21" s="2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21" s="2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21" s="2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21" s="2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21" s="27" t="e" vm="32">
        <f>IFERROR(INDEX(ImgDatabase!$L:$L, MATCH(Character[[#This Row],[NameHelper]], ImgDatabase!$E:$E, 0)), "")</f>
        <v>#VALUE!</v>
      </c>
      <c r="BA21" s="8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21" s="2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21" s="61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21" s="82">
        <f t="shared" si="3"/>
        <v>0</v>
      </c>
      <c r="BE21" s="26">
        <f t="shared" si="4"/>
        <v>0</v>
      </c>
      <c r="BF21" s="73">
        <f t="shared" si="5"/>
        <v>0</v>
      </c>
      <c r="BG21" s="82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21" s="26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21" s="26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21" s="26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21" s="26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21" s="26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21" s="26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21" s="26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21" s="73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21" s="89">
        <f t="shared" si="6"/>
        <v>0</v>
      </c>
      <c r="BQ21" s="32">
        <f t="shared" si="7"/>
        <v>0</v>
      </c>
      <c r="BR21" s="90">
        <f t="shared" si="8"/>
        <v>0</v>
      </c>
      <c r="BT21" s="102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21" s="33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21" s="33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21" s="33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21" s="103">
        <f>SUM(Table40[[#This Row],[Ascension
Cost]:[Talent Cost
(Burst)]])</f>
        <v>0</v>
      </c>
    </row>
    <row r="22" spans="1:76" ht="30" customHeight="1" x14ac:dyDescent="0.25">
      <c r="A22" s="52">
        <f>SUBTOTAL(3,$D$3:Character[[#This Row],[NameHelper]])</f>
        <v>20</v>
      </c>
      <c r="B22" s="31" t="e" vm="826">
        <f>IFERROR(INDEX(ImgDatabase!$D:$D, MATCH(Character[[#This Row],[NameHelper]], ImgDatabase!$E:$E, 0)), "")</f>
        <v>#VALUE!</v>
      </c>
      <c r="C22" s="30" t="s">
        <v>506</v>
      </c>
      <c r="D22" s="30" t="s">
        <v>506</v>
      </c>
      <c r="E22" s="29" t="e" vm="50">
        <f>IFERROR(INDEX(ImgDatabase!$G:$G, MATCH(Character[[#This Row],[NameHelper]], ImgDatabase!$E:$E, 0)), "")</f>
        <v>#VALUE!</v>
      </c>
      <c r="F22" s="29" t="e" vm="487">
        <f>IFERROR(INDEX(CharacterDetailsImg[Weapon Type], MATCH(Character[[#This Row],[NameHelper]], CharacterDetailsImg[Name], 0)), "")</f>
        <v>#VALUE!</v>
      </c>
      <c r="G22" s="53">
        <f>IFERROR(INDEX(CharacterDetailsImg[Released Version], MATCH(Character[[#This Row],[NameHelper]], CharacterDetailsImg[Name], 0)), "")</f>
        <v>1</v>
      </c>
      <c r="H22" s="108">
        <v>22</v>
      </c>
      <c r="I22" s="29">
        <v>1</v>
      </c>
      <c r="J22" s="29">
        <v>1</v>
      </c>
      <c r="K22" s="40">
        <v>1</v>
      </c>
      <c r="M22" s="108">
        <v>81</v>
      </c>
      <c r="N22" s="29">
        <v>1</v>
      </c>
      <c r="O22" s="29">
        <v>9</v>
      </c>
      <c r="P22" s="40">
        <v>9</v>
      </c>
      <c r="R22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249</v>
      </c>
      <c r="T22" s="108" t="e" vm="51">
        <f>IFERROR(INDEX(ImgDatabase!$I:$I, MATCH(Character[[#This Row],[NameHelper]], ImgDatabase!$E:$E, 0)), "")</f>
        <v>#VALUE!</v>
      </c>
      <c r="U22" s="40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46</v>
      </c>
      <c r="W22" s="64" t="e" vm="53">
        <f>IFERROR(INDEX(ImgDatabase!$K:$K, MATCH(Character[[#This Row],[NameHelper]], ImgDatabase!$E:$E, 0)), "")</f>
        <v>#VALUE!</v>
      </c>
      <c r="X22" s="28">
        <f t="shared" si="0"/>
        <v>44</v>
      </c>
      <c r="Y22" s="28">
        <f t="shared" si="1"/>
        <v>43</v>
      </c>
      <c r="Z22" s="72">
        <f t="shared" si="2"/>
        <v>25</v>
      </c>
      <c r="AA22" s="28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22" s="28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22" s="28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22" s="28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22</v>
      </c>
      <c r="AE22" s="28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21</v>
      </c>
      <c r="AF22" s="28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3</v>
      </c>
      <c r="AG22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H22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I22" s="72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K22" s="64" t="e" vm="52">
        <f>IFERROR(INDEX(ImgDatabase!$J:$J, MATCH(Character[[#This Row],[NameHelper]], ImgDatabase!$E:$E, 0)), "")</f>
        <v>#VALUE!</v>
      </c>
      <c r="AL22" s="72">
        <f>SUM(WeeklyBoss[[#This Row],[NA]:[Burst]])</f>
        <v>8</v>
      </c>
      <c r="AM22" s="2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22" s="2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22" s="40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22" s="108" t="e" vm="374">
        <f>IFERROR(INDEX(ImgDatabase!$M:$M, MATCH(Character[[#This Row],[NameHelper]], ImgDatabase!$E:$E, 0)), "")</f>
        <v>#VALUE!</v>
      </c>
      <c r="AR22" s="40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T22" s="108" t="e" vm="56">
        <f>IFERROR(INDEX(ImgDatabase!$N:$N, MATCH(Character[[#This Row],[NameHelper]], ImgDatabase!$E:$E, 0)), "")</f>
        <v>#VALUE!</v>
      </c>
      <c r="AU22" s="2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22" s="2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W22" s="2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X22" s="2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22" s="29" t="e" vm="442">
        <f>IFERROR(INDEX(ImgDatabase!$L:$L, MATCH(Character[[#This Row],[NameHelper]], ImgDatabase!$E:$E, 0)), "")</f>
        <v>#VALUE!</v>
      </c>
      <c r="BA22" s="39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BB22" s="2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BC22" s="40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BD22" s="71">
        <f t="shared" si="3"/>
        <v>38</v>
      </c>
      <c r="BE22" s="28">
        <f t="shared" si="4"/>
        <v>44</v>
      </c>
      <c r="BF22" s="72">
        <f t="shared" si="5"/>
        <v>12</v>
      </c>
      <c r="BG22" s="71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22" s="2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22" s="2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22" s="2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22" s="2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22" s="2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22" s="2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22" s="2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22" s="72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22" s="91">
        <f t="shared" si="6"/>
        <v>74</v>
      </c>
      <c r="BQ22" s="34">
        <f t="shared" si="7"/>
        <v>74</v>
      </c>
      <c r="BR22" s="92">
        <f t="shared" si="8"/>
        <v>27</v>
      </c>
      <c r="BT22" s="100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1394170</v>
      </c>
      <c r="BU22" s="35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22" s="35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22" s="35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22" s="101">
        <f>SUM(Table40[[#This Row],[Ascension
Cost]:[Talent Cost
(Burst)]])</f>
        <v>3299170</v>
      </c>
    </row>
    <row r="23" spans="1:76" ht="30" customHeight="1" x14ac:dyDescent="0.25">
      <c r="A23" s="52">
        <f>SUBTOTAL(3,$D$3:Character[[#This Row],[NameHelper]])</f>
        <v>21</v>
      </c>
      <c r="B23" s="31" t="e" vm="827">
        <f>IFERROR(INDEX(ImgDatabase!$D:$D, MATCH(Character[[#This Row],[NameHelper]], ImgDatabase!$E:$E, 0)), "")</f>
        <v>#VALUE!</v>
      </c>
      <c r="C23" s="30" t="s">
        <v>408</v>
      </c>
      <c r="D23" s="30" t="s">
        <v>408</v>
      </c>
      <c r="E23" s="29" t="e" vm="164">
        <f>IFERROR(INDEX(ImgDatabase!$G:$G, MATCH(Character[[#This Row],[NameHelper]], ImgDatabase!$E:$E, 0)), "")</f>
        <v>#VALUE!</v>
      </c>
      <c r="F23" s="29" t="e" vm="359">
        <f>IFERROR(INDEX(CharacterDetailsImg[Weapon Type], MATCH(Character[[#This Row],[NameHelper]], CharacterDetailsImg[Name], 0)), "")</f>
        <v>#VALUE!</v>
      </c>
      <c r="G23" s="53">
        <f>IFERROR(INDEX(CharacterDetailsImg[Released Version], MATCH(Character[[#This Row],[NameHelper]], CharacterDetailsImg[Name], 0)), "")</f>
        <v>1.1000000000000001</v>
      </c>
      <c r="H23" s="108">
        <v>50</v>
      </c>
      <c r="I23" s="29">
        <v>2</v>
      </c>
      <c r="J23" s="29">
        <v>2</v>
      </c>
      <c r="K23" s="40">
        <v>2</v>
      </c>
      <c r="M23" s="108">
        <v>81</v>
      </c>
      <c r="N23" s="29">
        <v>1</v>
      </c>
      <c r="O23" s="29">
        <v>9</v>
      </c>
      <c r="P23" s="40">
        <v>9</v>
      </c>
      <c r="R23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193</v>
      </c>
      <c r="T23" s="108" t="e" vm="165">
        <f>IFERROR(INDEX(ImgDatabase!$I:$I, MATCH(Character[[#This Row],[NameHelper]], ImgDatabase!$E:$E, 0)), "")</f>
        <v>#VALUE!</v>
      </c>
      <c r="U23" s="61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44</v>
      </c>
      <c r="W23" s="64" t="e" vm="362">
        <f>IFERROR(INDEX(ImgDatabase!$K:$K, MATCH(Character[[#This Row],[NameHelper]], ImgDatabase!$E:$E, 0)), "")</f>
        <v>#VALUE!</v>
      </c>
      <c r="X23" s="26">
        <f t="shared" si="0"/>
        <v>44</v>
      </c>
      <c r="Y23" s="26">
        <f t="shared" si="1"/>
        <v>43</v>
      </c>
      <c r="Z23" s="73">
        <f t="shared" si="2"/>
        <v>22</v>
      </c>
      <c r="AA23" s="26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23" s="26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23" s="26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23" s="26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22</v>
      </c>
      <c r="AE23" s="26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21</v>
      </c>
      <c r="AF23" s="26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0</v>
      </c>
      <c r="AG23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H23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I23" s="73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K23" s="112" t="e" vm="393">
        <f>IFERROR(INDEX(ImgDatabase!$J:$J, MATCH(Character[[#This Row],[NameHelper]], ImgDatabase!$E:$E, 0)), "")</f>
        <v>#VALUE!</v>
      </c>
      <c r="AL23" s="73">
        <f>SUM(WeeklyBoss[[#This Row],[NA]:[Burst]])</f>
        <v>8</v>
      </c>
      <c r="AM23" s="27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23" s="27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23" s="61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23" s="107" t="e" vm="167">
        <f>IFERROR(INDEX(ImgDatabase!$M:$M, MATCH(Character[[#This Row],[NameHelper]], ImgDatabase!$E:$E, 0)), "")</f>
        <v>#VALUE!</v>
      </c>
      <c r="AR23" s="61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155</v>
      </c>
      <c r="AT23" s="107" t="e" vm="168">
        <f>IFERROR(INDEX(ImgDatabase!$N:$N, MATCH(Character[[#This Row],[NameHelper]], ImgDatabase!$E:$E, 0)), "")</f>
        <v>#VALUE!</v>
      </c>
      <c r="AU23" s="2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23" s="2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W23" s="2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6</v>
      </c>
      <c r="AX23" s="2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23" s="27" t="e" vm="373">
        <f>IFERROR(INDEX(ImgDatabase!$L:$L, MATCH(Character[[#This Row],[NameHelper]], ImgDatabase!$E:$E, 0)), "")</f>
        <v>#VALUE!</v>
      </c>
      <c r="BA23" s="8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BB23" s="2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BC23" s="61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23" s="82">
        <f t="shared" si="3"/>
        <v>38</v>
      </c>
      <c r="BE23" s="26">
        <f t="shared" si="4"/>
        <v>44</v>
      </c>
      <c r="BF23" s="73">
        <f t="shared" si="5"/>
        <v>0</v>
      </c>
      <c r="BG23" s="82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23" s="26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23" s="26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23" s="26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23" s="26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23" s="26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23" s="26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23" s="26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23" s="73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23" s="89">
        <f t="shared" si="6"/>
        <v>74</v>
      </c>
      <c r="BQ23" s="32">
        <f t="shared" si="7"/>
        <v>74</v>
      </c>
      <c r="BR23" s="90">
        <f t="shared" si="8"/>
        <v>0</v>
      </c>
      <c r="BT23" s="102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1129020</v>
      </c>
      <c r="BU23" s="33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23" s="33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940000</v>
      </c>
      <c r="BW23" s="33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940000</v>
      </c>
      <c r="BX23" s="103">
        <f>SUM(Table40[[#This Row],[Ascension
Cost]:[Talent Cost
(Burst)]])</f>
        <v>3009020</v>
      </c>
    </row>
    <row r="24" spans="1:76" ht="30" customHeight="1" x14ac:dyDescent="0.25">
      <c r="A24" s="52">
        <f>SUBTOTAL(3,$D$3:Character[[#This Row],[NameHelper]])</f>
        <v>22</v>
      </c>
      <c r="B24" s="31" t="e" vm="828">
        <f>IFERROR(INDEX(ImgDatabase!$D:$D, MATCH(Character[[#This Row],[NameHelper]], ImgDatabase!$E:$E, 0)), "")</f>
        <v>#VALUE!</v>
      </c>
      <c r="C24" s="30" t="s">
        <v>509</v>
      </c>
      <c r="D24" s="30" t="s">
        <v>509</v>
      </c>
      <c r="E24" s="29" t="e" vm="91">
        <f>IFERROR(INDEX(ImgDatabase!$G:$G, MATCH(Character[[#This Row],[NameHelper]], ImgDatabase!$E:$E, 0)), "")</f>
        <v>#VALUE!</v>
      </c>
      <c r="F24" s="29" t="e" vm="487">
        <f>IFERROR(INDEX(CharacterDetailsImg[Weapon Type], MATCH(Character[[#This Row],[NameHelper]], CharacterDetailsImg[Name], 0)), "")</f>
        <v>#VALUE!</v>
      </c>
      <c r="G24" s="53">
        <f>IFERROR(INDEX(CharacterDetailsImg[Released Version], MATCH(Character[[#This Row],[NameHelper]], CharacterDetailsImg[Name], 0)), "")</f>
        <v>3</v>
      </c>
      <c r="H24" s="108">
        <v>51</v>
      </c>
      <c r="I24" s="29">
        <v>1</v>
      </c>
      <c r="J24" s="29">
        <v>1</v>
      </c>
      <c r="K24" s="40">
        <v>1</v>
      </c>
      <c r="M24" s="108">
        <v>81</v>
      </c>
      <c r="N24" s="29">
        <v>1</v>
      </c>
      <c r="O24" s="29">
        <v>9</v>
      </c>
      <c r="P24" s="40">
        <v>9</v>
      </c>
      <c r="R24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189</v>
      </c>
      <c r="T24" s="108" t="e" vm="510">
        <f>IFERROR(INDEX(ImgDatabase!$I:$I, MATCH(Character[[#This Row],[NameHelper]], ImgDatabase!$E:$E, 0)), "")</f>
        <v>#VALUE!</v>
      </c>
      <c r="U24" s="40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40</v>
      </c>
      <c r="W24" s="64" t="e" vm="31">
        <f>IFERROR(INDEX(ImgDatabase!$K:$K, MATCH(Character[[#This Row],[NameHelper]], ImgDatabase!$E:$E, 0)), "")</f>
        <v>#VALUE!</v>
      </c>
      <c r="X24" s="28">
        <f t="shared" si="0"/>
        <v>44</v>
      </c>
      <c r="Y24" s="28">
        <f t="shared" si="1"/>
        <v>43</v>
      </c>
      <c r="Z24" s="72">
        <f t="shared" si="2"/>
        <v>25</v>
      </c>
      <c r="AA24" s="28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24" s="28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24" s="28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24" s="28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22</v>
      </c>
      <c r="AE24" s="28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21</v>
      </c>
      <c r="AF24" s="28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3</v>
      </c>
      <c r="AG24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H24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I24" s="72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K24" s="64" t="e" vm="181">
        <f>IFERROR(INDEX(ImgDatabase!$J:$J, MATCH(Character[[#This Row],[NameHelper]], ImgDatabase!$E:$E, 0)), "")</f>
        <v>#VALUE!</v>
      </c>
      <c r="AL24" s="72">
        <f>SUM(WeeklyBoss[[#This Row],[NA]:[Burst]])</f>
        <v>8</v>
      </c>
      <c r="AM24" s="2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24" s="2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24" s="40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24" s="108" t="e" vm="511">
        <f>IFERROR(INDEX(ImgDatabase!$M:$M, MATCH(Character[[#This Row],[NameHelper]], ImgDatabase!$E:$E, 0)), "")</f>
        <v>#VALUE!</v>
      </c>
      <c r="AR24" s="40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135</v>
      </c>
      <c r="AT24" s="108" t="e" vm="97">
        <f>IFERROR(INDEX(ImgDatabase!$N:$N, MATCH(Character[[#This Row],[NameHelper]], ImgDatabase!$E:$E, 0)), "")</f>
        <v>#VALUE!</v>
      </c>
      <c r="AU24" s="2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24" s="2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W24" s="2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24" s="2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24" s="29" t="e" vm="32">
        <f>IFERROR(INDEX(ImgDatabase!$L:$L, MATCH(Character[[#This Row],[NameHelper]], ImgDatabase!$E:$E, 0)), "")</f>
        <v>#VALUE!</v>
      </c>
      <c r="BA24" s="39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BB24" s="2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18</v>
      </c>
      <c r="BC24" s="40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24" s="71">
        <f t="shared" si="3"/>
        <v>38</v>
      </c>
      <c r="BE24" s="28">
        <f t="shared" si="4"/>
        <v>44</v>
      </c>
      <c r="BF24" s="72">
        <f t="shared" si="5"/>
        <v>12</v>
      </c>
      <c r="BG24" s="71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24" s="2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24" s="2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24" s="2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24" s="2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24" s="2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24" s="2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24" s="2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24" s="72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24" s="91">
        <f t="shared" si="6"/>
        <v>74</v>
      </c>
      <c r="BQ24" s="34">
        <f t="shared" si="7"/>
        <v>62</v>
      </c>
      <c r="BR24" s="92">
        <f t="shared" si="8"/>
        <v>12</v>
      </c>
      <c r="BT24" s="100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1054925</v>
      </c>
      <c r="BU24" s="35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24" s="35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24" s="35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24" s="101">
        <f>SUM(Table40[[#This Row],[Ascension
Cost]:[Talent Cost
(Burst)]])</f>
        <v>2959925</v>
      </c>
    </row>
    <row r="25" spans="1:76" ht="30" customHeight="1" x14ac:dyDescent="0.25">
      <c r="A25" s="52">
        <f>SUBTOTAL(3,$D$3:Character[[#This Row],[NameHelper]])</f>
        <v>23</v>
      </c>
      <c r="B25" s="31" t="e" vm="829">
        <f>IFERROR(INDEX(ImgDatabase!$D:$D, MATCH(Character[[#This Row],[NameHelper]], ImgDatabase!$E:$E, 0)), "")</f>
        <v>#VALUE!</v>
      </c>
      <c r="C25" s="30" t="s">
        <v>512</v>
      </c>
      <c r="D25" s="30" t="s">
        <v>512</v>
      </c>
      <c r="E25" s="29" t="e" vm="164">
        <f>IFERROR(INDEX(ImgDatabase!$G:$G, MATCH(Character[[#This Row],[NameHelper]], ImgDatabase!$E:$E, 0)), "")</f>
        <v>#VALUE!</v>
      </c>
      <c r="F25" s="29" t="e" vm="487">
        <f>IFERROR(INDEX(CharacterDetailsImg[Weapon Type], MATCH(Character[[#This Row],[NameHelper]], CharacterDetailsImg[Name], 0)), "")</f>
        <v>#VALUE!</v>
      </c>
      <c r="G25" s="53">
        <f>IFERROR(INDEX(CharacterDetailsImg[Released Version], MATCH(Character[[#This Row],[NameHelper]], CharacterDetailsImg[Name], 0)), "")</f>
        <v>1.5</v>
      </c>
      <c r="H25" s="108">
        <v>90</v>
      </c>
      <c r="I25" s="29">
        <v>9</v>
      </c>
      <c r="J25" s="29">
        <v>8</v>
      </c>
      <c r="K25" s="40">
        <v>10</v>
      </c>
      <c r="M25" s="108">
        <v>81</v>
      </c>
      <c r="N25" s="29">
        <v>1</v>
      </c>
      <c r="O25" s="29">
        <v>9</v>
      </c>
      <c r="P25" s="40">
        <v>9</v>
      </c>
      <c r="R25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25" s="108" t="e" vm="360">
        <f>IFERROR(INDEX(ImgDatabase!$I:$I, MATCH(Character[[#This Row],[NameHelper]], ImgDatabase!$E:$E, 0)), "")</f>
        <v>#VALUE!</v>
      </c>
      <c r="U25" s="61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0</v>
      </c>
      <c r="W25" s="64" t="e" vm="53">
        <f>IFERROR(INDEX(ImgDatabase!$K:$K, MATCH(Character[[#This Row],[NameHelper]], ImgDatabase!$E:$E, 0)), "")</f>
        <v>#VALUE!</v>
      </c>
      <c r="X25" s="26">
        <f t="shared" si="0"/>
        <v>12</v>
      </c>
      <c r="Y25" s="26">
        <f t="shared" si="1"/>
        <v>0</v>
      </c>
      <c r="Z25" s="73">
        <f t="shared" si="2"/>
        <v>0</v>
      </c>
      <c r="AA25" s="26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25" s="26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25" s="26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25" s="26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12</v>
      </c>
      <c r="AE25" s="26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0</v>
      </c>
      <c r="AF25" s="26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0</v>
      </c>
      <c r="AG25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H25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I25" s="73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K25" s="112" t="e" vm="481">
        <f>IFERROR(INDEX(ImgDatabase!$J:$J, MATCH(Character[[#This Row],[NameHelper]], ImgDatabase!$E:$E, 0)), "")</f>
        <v>#VALUE!</v>
      </c>
      <c r="AL25" s="73">
        <f>SUM(WeeklyBoss[[#This Row],[NA]:[Burst]])</f>
        <v>2</v>
      </c>
      <c r="AM25" s="27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25" s="27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2</v>
      </c>
      <c r="AO25" s="61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25" s="107" t="e" vm="134">
        <f>IFERROR(INDEX(ImgDatabase!$M:$M, MATCH(Character[[#This Row],[NameHelper]], ImgDatabase!$E:$E, 0)), "")</f>
        <v>#VALUE!</v>
      </c>
      <c r="AR25" s="61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25" s="107" t="e" vm="168">
        <f>IFERROR(INDEX(ImgDatabase!$N:$N, MATCH(Character[[#This Row],[NameHelper]], ImgDatabase!$E:$E, 0)), "")</f>
        <v>#VALUE!</v>
      </c>
      <c r="AU25" s="2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25" s="2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25" s="2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25" s="2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25" s="27" t="e" vm="133">
        <f>IFERROR(INDEX(ImgDatabase!$L:$L, MATCH(Character[[#This Row],[NameHelper]], ImgDatabase!$E:$E, 0)), "")</f>
        <v>#VALUE!</v>
      </c>
      <c r="BA25" s="8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25" s="2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25" s="61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25" s="82">
        <f t="shared" si="3"/>
        <v>9</v>
      </c>
      <c r="BE25" s="26">
        <f t="shared" si="4"/>
        <v>0</v>
      </c>
      <c r="BF25" s="73">
        <f t="shared" si="5"/>
        <v>0</v>
      </c>
      <c r="BG25" s="82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25" s="26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25" s="26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25" s="26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9</v>
      </c>
      <c r="BK25" s="26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25" s="26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25" s="26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25" s="26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25" s="73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25" s="89">
        <f t="shared" si="6"/>
        <v>9</v>
      </c>
      <c r="BQ25" s="32">
        <f t="shared" si="7"/>
        <v>0</v>
      </c>
      <c r="BR25" s="90">
        <f t="shared" si="8"/>
        <v>0</v>
      </c>
      <c r="BT25" s="102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25" s="33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25" s="33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450000</v>
      </c>
      <c r="BW25" s="33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25" s="103">
        <f>SUM(Table40[[#This Row],[Ascension
Cost]:[Talent Cost
(Burst)]])</f>
        <v>450000</v>
      </c>
    </row>
    <row r="26" spans="1:76" ht="30" customHeight="1" x14ac:dyDescent="0.25">
      <c r="A26" s="52">
        <f>SUBTOTAL(3,$D$3:Character[[#This Row],[NameHelper]])</f>
        <v>24</v>
      </c>
      <c r="B26" s="31" t="e" vm="830">
        <f>IFERROR(INDEX(ImgDatabase!$D:$D, MATCH(Character[[#This Row],[NameHelper]], ImgDatabase!$E:$E, 0)), "")</f>
        <v>#VALUE!</v>
      </c>
      <c r="C26" s="30" t="s">
        <v>417</v>
      </c>
      <c r="D26" s="30" t="s">
        <v>417</v>
      </c>
      <c r="E26" s="29" t="e" vm="131">
        <f>IFERROR(INDEX(ImgDatabase!$G:$G, MATCH(Character[[#This Row],[NameHelper]], ImgDatabase!$E:$E, 0)), "")</f>
        <v>#VALUE!</v>
      </c>
      <c r="F26" s="29" t="e" vm="359">
        <f>IFERROR(INDEX(CharacterDetailsImg[Weapon Type], MATCH(Character[[#This Row],[NameHelper]], CharacterDetailsImg[Name], 0)), "")</f>
        <v>#VALUE!</v>
      </c>
      <c r="G26" s="53">
        <f>IFERROR(INDEX(CharacterDetailsImg[Released Version], MATCH(Character[[#This Row],[NameHelper]], CharacterDetailsImg[Name], 0)), "")</f>
        <v>3.3</v>
      </c>
      <c r="H26" s="108">
        <v>90</v>
      </c>
      <c r="I26" s="29">
        <v>4</v>
      </c>
      <c r="J26" s="29">
        <v>9</v>
      </c>
      <c r="K26" s="40">
        <v>10</v>
      </c>
      <c r="M26" s="108">
        <v>81</v>
      </c>
      <c r="N26" s="29">
        <v>1</v>
      </c>
      <c r="O26" s="29">
        <v>9</v>
      </c>
      <c r="P26" s="40">
        <v>9</v>
      </c>
      <c r="R26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26" s="108" t="e" vm="402">
        <f>IFERROR(INDEX(ImgDatabase!$I:$I, MATCH(Character[[#This Row],[NameHelper]], ImgDatabase!$E:$E, 0)), "")</f>
        <v>#VALUE!</v>
      </c>
      <c r="U26" s="40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0</v>
      </c>
      <c r="W26" s="64" t="e" vm="404">
        <f>IFERROR(INDEX(ImgDatabase!$K:$K, MATCH(Character[[#This Row],[NameHelper]], ImgDatabase!$E:$E, 0)), "")</f>
        <v>#VALUE!</v>
      </c>
      <c r="X26" s="28">
        <f t="shared" si="0"/>
        <v>0</v>
      </c>
      <c r="Y26" s="28">
        <f t="shared" si="1"/>
        <v>0</v>
      </c>
      <c r="Z26" s="72">
        <f t="shared" si="2"/>
        <v>0</v>
      </c>
      <c r="AA26" s="28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26" s="28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26" s="28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26" s="28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0</v>
      </c>
      <c r="AE26" s="28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0</v>
      </c>
      <c r="AF26" s="28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0</v>
      </c>
      <c r="AG26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H26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I26" s="72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K26" s="64" t="e" vm="403">
        <f>IFERROR(INDEX(ImgDatabase!$J:$J, MATCH(Character[[#This Row],[NameHelper]], ImgDatabase!$E:$E, 0)), "")</f>
        <v>#VALUE!</v>
      </c>
      <c r="AL26" s="72">
        <f>SUM(WeeklyBoss[[#This Row],[NA]:[Burst]])</f>
        <v>0</v>
      </c>
      <c r="AM26" s="2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26" s="2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26" s="40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26" s="108" t="e" vm="76">
        <f>IFERROR(INDEX(ImgDatabase!$M:$M, MATCH(Character[[#This Row],[NameHelper]], ImgDatabase!$E:$E, 0)), "")</f>
        <v>#VALUE!</v>
      </c>
      <c r="AR26" s="40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26" s="108" t="e" vm="135">
        <f>IFERROR(INDEX(ImgDatabase!$N:$N, MATCH(Character[[#This Row],[NameHelper]], ImgDatabase!$E:$E, 0)), "")</f>
        <v>#VALUE!</v>
      </c>
      <c r="AU26" s="2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26" s="2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26" s="2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26" s="2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26" s="29" t="e" vm="32">
        <f>IFERROR(INDEX(ImgDatabase!$L:$L, MATCH(Character[[#This Row],[NameHelper]], ImgDatabase!$E:$E, 0)), "")</f>
        <v>#VALUE!</v>
      </c>
      <c r="BA26" s="39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26" s="2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26" s="40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26" s="71">
        <f t="shared" si="3"/>
        <v>0</v>
      </c>
      <c r="BE26" s="28">
        <f t="shared" si="4"/>
        <v>0</v>
      </c>
      <c r="BF26" s="72">
        <f t="shared" si="5"/>
        <v>0</v>
      </c>
      <c r="BG26" s="71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26" s="2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26" s="2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26" s="2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26" s="2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26" s="2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26" s="2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26" s="2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26" s="72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26" s="91">
        <f t="shared" si="6"/>
        <v>0</v>
      </c>
      <c r="BQ26" s="34">
        <f t="shared" si="7"/>
        <v>0</v>
      </c>
      <c r="BR26" s="92">
        <f t="shared" si="8"/>
        <v>0</v>
      </c>
      <c r="BT26" s="100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26" s="35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26" s="35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26" s="35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26" s="101">
        <f>SUM(Table40[[#This Row],[Ascension
Cost]:[Talent Cost
(Burst)]])</f>
        <v>0</v>
      </c>
    </row>
    <row r="27" spans="1:76" ht="30" customHeight="1" x14ac:dyDescent="0.25">
      <c r="A27" s="52">
        <f>SUBTOTAL(3,$D$3:Character[[#This Row],[NameHelper]])</f>
        <v>25</v>
      </c>
      <c r="B27" s="31" t="e" vm="831">
        <f>IFERROR(INDEX(ImgDatabase!$D:$D, MATCH(Character[[#This Row],[NameHelper]], ImgDatabase!$E:$E, 0)), "")</f>
        <v>#VALUE!</v>
      </c>
      <c r="C27" s="30" t="s">
        <v>426</v>
      </c>
      <c r="D27" s="30" t="s">
        <v>426</v>
      </c>
      <c r="E27" s="29" t="e" vm="91">
        <f>IFERROR(INDEX(ImgDatabase!$G:$G, MATCH(Character[[#This Row],[NameHelper]], ImgDatabase!$E:$E, 0)), "")</f>
        <v>#VALUE!</v>
      </c>
      <c r="F27" s="29" t="e" vm="359">
        <f>IFERROR(INDEX(CharacterDetailsImg[Weapon Type], MATCH(Character[[#This Row],[NameHelper]], CharacterDetailsImg[Name], 0)), "")</f>
        <v>#VALUE!</v>
      </c>
      <c r="G27" s="53">
        <f>IFERROR(INDEX(CharacterDetailsImg[Released Version], MATCH(Character[[#This Row],[NameHelper]], CharacterDetailsImg[Name], 0)), "")</f>
        <v>1</v>
      </c>
      <c r="H27" s="108">
        <v>90</v>
      </c>
      <c r="I27" s="29">
        <v>1</v>
      </c>
      <c r="J27" s="29">
        <v>10</v>
      </c>
      <c r="K27" s="40">
        <v>1</v>
      </c>
      <c r="M27" s="108">
        <v>81</v>
      </c>
      <c r="N27" s="29">
        <v>1</v>
      </c>
      <c r="O27" s="29">
        <v>9</v>
      </c>
      <c r="P27" s="40">
        <v>9</v>
      </c>
      <c r="R27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27" s="108" t="e" vm="209">
        <f>IFERROR(INDEX(ImgDatabase!$I:$I, MATCH(Character[[#This Row],[NameHelper]], ImgDatabase!$E:$E, 0)), "")</f>
        <v>#VALUE!</v>
      </c>
      <c r="U27" s="61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0</v>
      </c>
      <c r="W27" s="64" t="e" vm="9">
        <f>IFERROR(INDEX(ImgDatabase!$K:$K, MATCH(Character[[#This Row],[NameHelper]], ImgDatabase!$E:$E, 0)), "")</f>
        <v>#VALUE!</v>
      </c>
      <c r="X27" s="26">
        <f t="shared" si="0"/>
        <v>22</v>
      </c>
      <c r="Y27" s="26">
        <f t="shared" si="1"/>
        <v>22</v>
      </c>
      <c r="Z27" s="73">
        <f t="shared" si="2"/>
        <v>22</v>
      </c>
      <c r="AA27" s="26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27" s="26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27" s="26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27" s="26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0</v>
      </c>
      <c r="AE27" s="26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0</v>
      </c>
      <c r="AF27" s="26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0</v>
      </c>
      <c r="AG27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H27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I27" s="73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K27" s="112" t="e" vm="166">
        <f>IFERROR(INDEX(ImgDatabase!$J:$J, MATCH(Character[[#This Row],[NameHelper]], ImgDatabase!$E:$E, 0)), "")</f>
        <v>#VALUE!</v>
      </c>
      <c r="AL27" s="73">
        <f>SUM(WeeklyBoss[[#This Row],[NA]:[Burst]])</f>
        <v>4</v>
      </c>
      <c r="AM27" s="27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27" s="27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27" s="61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27" s="107" t="e" vm="374">
        <f>IFERROR(INDEX(ImgDatabase!$M:$M, MATCH(Character[[#This Row],[NameHelper]], ImgDatabase!$E:$E, 0)), "")</f>
        <v>#VALUE!</v>
      </c>
      <c r="AR27" s="61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27" s="107" t="e" vm="97">
        <f>IFERROR(INDEX(ImgDatabase!$N:$N, MATCH(Character[[#This Row],[NameHelper]], ImgDatabase!$E:$E, 0)), "")</f>
        <v>#VALUE!</v>
      </c>
      <c r="AU27" s="2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27" s="2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27" s="2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27" s="2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27" s="27" t="e" vm="373">
        <f>IFERROR(INDEX(ImgDatabase!$L:$L, MATCH(Character[[#This Row],[NameHelper]], ImgDatabase!$E:$E, 0)), "")</f>
        <v>#VALUE!</v>
      </c>
      <c r="BA27" s="8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27" s="2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27" s="61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27" s="82">
        <f t="shared" si="3"/>
        <v>19</v>
      </c>
      <c r="BE27" s="26">
        <f t="shared" si="4"/>
        <v>22</v>
      </c>
      <c r="BF27" s="73">
        <f t="shared" si="5"/>
        <v>6</v>
      </c>
      <c r="BG27" s="82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27" s="26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27" s="26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27" s="26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27" s="26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27" s="26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27" s="26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27" s="26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27" s="73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27" s="89">
        <f t="shared" si="6"/>
        <v>19</v>
      </c>
      <c r="BQ27" s="32">
        <f t="shared" si="7"/>
        <v>22</v>
      </c>
      <c r="BR27" s="90">
        <f t="shared" si="8"/>
        <v>6</v>
      </c>
      <c r="BT27" s="102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27" s="33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27" s="33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27" s="33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27" s="103">
        <f>SUM(Table40[[#This Row],[Ascension
Cost]:[Talent Cost
(Burst)]])</f>
        <v>952500</v>
      </c>
    </row>
    <row r="28" spans="1:76" ht="30" customHeight="1" x14ac:dyDescent="0.25">
      <c r="A28" s="52">
        <f>SUBTOTAL(3,$D$3:Character[[#This Row],[NameHelper]])</f>
        <v>26</v>
      </c>
      <c r="B28" s="31" t="e" vm="832">
        <f>IFERROR(INDEX(ImgDatabase!$D:$D, MATCH(Character[[#This Row],[NameHelper]], ImgDatabase!$E:$E, 0)), "")</f>
        <v>#VALUE!</v>
      </c>
      <c r="C28" s="30" t="s">
        <v>515</v>
      </c>
      <c r="D28" s="30" t="s">
        <v>515</v>
      </c>
      <c r="E28" s="29" t="e" vm="164">
        <f>IFERROR(INDEX(ImgDatabase!$G:$G, MATCH(Character[[#This Row],[NameHelper]], ImgDatabase!$E:$E, 0)), "")</f>
        <v>#VALUE!</v>
      </c>
      <c r="F28" s="29" t="e" vm="487">
        <f>IFERROR(INDEX(CharacterDetailsImg[Weapon Type], MATCH(Character[[#This Row],[NameHelper]], CharacterDetailsImg[Name], 0)), "")</f>
        <v>#VALUE!</v>
      </c>
      <c r="G28" s="53">
        <f>IFERROR(INDEX(CharacterDetailsImg[Released Version], MATCH(Character[[#This Row],[NameHelper]], CharacterDetailsImg[Name], 0)), "")</f>
        <v>4</v>
      </c>
      <c r="H28" s="108">
        <v>22</v>
      </c>
      <c r="I28" s="29">
        <v>1</v>
      </c>
      <c r="J28" s="29">
        <v>1</v>
      </c>
      <c r="K28" s="40">
        <v>1</v>
      </c>
      <c r="M28" s="108">
        <v>81</v>
      </c>
      <c r="N28" s="29">
        <v>1</v>
      </c>
      <c r="O28" s="29">
        <v>9</v>
      </c>
      <c r="P28" s="40">
        <v>9</v>
      </c>
      <c r="R28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249</v>
      </c>
      <c r="T28" s="108" t="e" vm="518">
        <f>IFERROR(INDEX(ImgDatabase!$I:$I, MATCH(Character[[#This Row],[NameHelper]], ImgDatabase!$E:$E, 0)), "")</f>
        <v>#VALUE!</v>
      </c>
      <c r="U28" s="40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46</v>
      </c>
      <c r="W28" s="64" t="e" vm="94">
        <f>IFERROR(INDEX(ImgDatabase!$K:$K, MATCH(Character[[#This Row],[NameHelper]], ImgDatabase!$E:$E, 0)), "")</f>
        <v>#VALUE!</v>
      </c>
      <c r="X28" s="28">
        <f t="shared" si="0"/>
        <v>44</v>
      </c>
      <c r="Y28" s="28">
        <f t="shared" si="1"/>
        <v>43</v>
      </c>
      <c r="Z28" s="72">
        <f t="shared" si="2"/>
        <v>25</v>
      </c>
      <c r="AA28" s="28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28" s="28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28" s="28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28" s="28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22</v>
      </c>
      <c r="AE28" s="28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21</v>
      </c>
      <c r="AF28" s="28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3</v>
      </c>
      <c r="AG28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H28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I28" s="72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K28" s="64" t="e" vm="519">
        <f>IFERROR(INDEX(ImgDatabase!$J:$J, MATCH(Character[[#This Row],[NameHelper]], ImgDatabase!$E:$E, 0)), "")</f>
        <v>#VALUE!</v>
      </c>
      <c r="AL28" s="72">
        <f>SUM(WeeklyBoss[[#This Row],[NA]:[Burst]])</f>
        <v>8</v>
      </c>
      <c r="AM28" s="2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28" s="2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28" s="40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28" s="108" t="e" vm="520">
        <f>IFERROR(INDEX(ImgDatabase!$M:$M, MATCH(Character[[#This Row],[NameHelper]], ImgDatabase!$E:$E, 0)), "")</f>
        <v>#VALUE!</v>
      </c>
      <c r="AR28" s="40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T28" s="108" t="e" vm="168">
        <f>IFERROR(INDEX(ImgDatabase!$N:$N, MATCH(Character[[#This Row],[NameHelper]], ImgDatabase!$E:$E, 0)), "")</f>
        <v>#VALUE!</v>
      </c>
      <c r="AU28" s="2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28" s="2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W28" s="2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X28" s="2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28" s="29" t="e" vm="95">
        <f>IFERROR(INDEX(ImgDatabase!$L:$L, MATCH(Character[[#This Row],[NameHelper]], ImgDatabase!$E:$E, 0)), "")</f>
        <v>#VALUE!</v>
      </c>
      <c r="BA28" s="39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BB28" s="2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BC28" s="40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BD28" s="71">
        <f t="shared" si="3"/>
        <v>38</v>
      </c>
      <c r="BE28" s="28">
        <f t="shared" si="4"/>
        <v>44</v>
      </c>
      <c r="BF28" s="72">
        <f t="shared" si="5"/>
        <v>12</v>
      </c>
      <c r="BG28" s="71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28" s="2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28" s="2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28" s="2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28" s="2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28" s="2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28" s="2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28" s="2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28" s="72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28" s="91">
        <f t="shared" si="6"/>
        <v>74</v>
      </c>
      <c r="BQ28" s="34">
        <f t="shared" si="7"/>
        <v>74</v>
      </c>
      <c r="BR28" s="92">
        <f t="shared" si="8"/>
        <v>27</v>
      </c>
      <c r="BT28" s="100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1394170</v>
      </c>
      <c r="BU28" s="35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28" s="35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28" s="35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28" s="101">
        <f>SUM(Table40[[#This Row],[Ascension
Cost]:[Talent Cost
(Burst)]])</f>
        <v>3299170</v>
      </c>
    </row>
    <row r="29" spans="1:76" ht="30" customHeight="1" x14ac:dyDescent="0.25">
      <c r="A29" s="52">
        <f>SUBTOTAL(3,$D$3:Character[[#This Row],[NameHelper]])</f>
        <v>27</v>
      </c>
      <c r="B29" s="31" t="e" vm="833">
        <f>IFERROR(INDEX(ImgDatabase!$D:$D, MATCH(Character[[#This Row],[NameHelper]], ImgDatabase!$E:$E, 0)), "")</f>
        <v>#VALUE!</v>
      </c>
      <c r="C29" s="30" t="s">
        <v>155</v>
      </c>
      <c r="D29" s="30" t="s">
        <v>155</v>
      </c>
      <c r="E29" s="29" t="e" vm="112">
        <f>IFERROR(INDEX(ImgDatabase!$G:$G, MATCH(Character[[#This Row],[NameHelper]], ImgDatabase!$E:$E, 0)), "")</f>
        <v>#VALUE!</v>
      </c>
      <c r="F29" s="29" t="e" vm="5">
        <f>IFERROR(INDEX(CharacterDetailsImg[Weapon Type], MATCH(Character[[#This Row],[NameHelper]], CharacterDetailsImg[Name], 0)), "")</f>
        <v>#VALUE!</v>
      </c>
      <c r="G29" s="53">
        <f>IFERROR(INDEX(CharacterDetailsImg[Released Version], MATCH(Character[[#This Row],[NameHelper]], CharacterDetailsImg[Name], 0)), "")</f>
        <v>4.2</v>
      </c>
      <c r="H29" s="108">
        <v>90</v>
      </c>
      <c r="I29" s="29">
        <v>1</v>
      </c>
      <c r="J29" s="29">
        <v>10</v>
      </c>
      <c r="K29" s="40">
        <v>10</v>
      </c>
      <c r="M29" s="108">
        <v>81</v>
      </c>
      <c r="N29" s="29">
        <v>1</v>
      </c>
      <c r="O29" s="29">
        <v>9</v>
      </c>
      <c r="P29" s="40">
        <v>9</v>
      </c>
      <c r="R29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29" s="108" t="e" vm="113">
        <f>IFERROR(INDEX(ImgDatabase!$I:$I, MATCH(Character[[#This Row],[NameHelper]], ImgDatabase!$E:$E, 0)), "")</f>
        <v>#VALUE!</v>
      </c>
      <c r="U29" s="61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0</v>
      </c>
      <c r="W29" s="64" t="e" vm="94">
        <f>IFERROR(INDEX(ImgDatabase!$K:$K, MATCH(Character[[#This Row],[NameHelper]], ImgDatabase!$E:$E, 0)), "")</f>
        <v>#VALUE!</v>
      </c>
      <c r="X29" s="26">
        <f t="shared" si="0"/>
        <v>0</v>
      </c>
      <c r="Y29" s="26">
        <f t="shared" si="1"/>
        <v>0</v>
      </c>
      <c r="Z29" s="73">
        <f t="shared" si="2"/>
        <v>0</v>
      </c>
      <c r="AA29" s="26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29" s="26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29" s="26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29" s="26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0</v>
      </c>
      <c r="AE29" s="26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0</v>
      </c>
      <c r="AF29" s="26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0</v>
      </c>
      <c r="AG29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H29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I29" s="73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K29" s="112" t="e" vm="114">
        <f>IFERROR(INDEX(ImgDatabase!$J:$J, MATCH(Character[[#This Row],[NameHelper]], ImgDatabase!$E:$E, 0)), "")</f>
        <v>#VALUE!</v>
      </c>
      <c r="AL29" s="73">
        <f>SUM(WeeklyBoss[[#This Row],[NA]:[Burst]])</f>
        <v>0</v>
      </c>
      <c r="AM29" s="27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29" s="27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29" s="61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29" s="107" t="e" vm="116">
        <f>IFERROR(INDEX(ImgDatabase!$M:$M, MATCH(Character[[#This Row],[NameHelper]], ImgDatabase!$E:$E, 0)), "")</f>
        <v>#VALUE!</v>
      </c>
      <c r="AR29" s="61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29" s="107" t="e" vm="117">
        <f>IFERROR(INDEX(ImgDatabase!$N:$N, MATCH(Character[[#This Row],[NameHelper]], ImgDatabase!$E:$E, 0)), "")</f>
        <v>#VALUE!</v>
      </c>
      <c r="AU29" s="2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29" s="2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29" s="2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29" s="2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29" s="27" t="e" vm="115">
        <f>IFERROR(INDEX(ImgDatabase!$L:$L, MATCH(Character[[#This Row],[NameHelper]], ImgDatabase!$E:$E, 0)), "")</f>
        <v>#VALUE!</v>
      </c>
      <c r="BA29" s="8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29" s="2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29" s="61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29" s="82">
        <f t="shared" si="3"/>
        <v>0</v>
      </c>
      <c r="BE29" s="26">
        <f t="shared" si="4"/>
        <v>0</v>
      </c>
      <c r="BF29" s="73">
        <f t="shared" si="5"/>
        <v>0</v>
      </c>
      <c r="BG29" s="82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29" s="26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29" s="26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29" s="26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29" s="26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29" s="26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29" s="26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29" s="26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29" s="73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29" s="89">
        <f t="shared" si="6"/>
        <v>0</v>
      </c>
      <c r="BQ29" s="32">
        <f t="shared" si="7"/>
        <v>0</v>
      </c>
      <c r="BR29" s="90">
        <f t="shared" si="8"/>
        <v>0</v>
      </c>
      <c r="BT29" s="102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29" s="33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29" s="33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29" s="33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29" s="103">
        <f>SUM(Table40[[#This Row],[Ascension
Cost]:[Talent Cost
(Burst)]])</f>
        <v>0</v>
      </c>
    </row>
    <row r="30" spans="1:76" ht="30" customHeight="1" x14ac:dyDescent="0.25">
      <c r="A30" s="52">
        <f>SUBTOTAL(3,$D$3:Character[[#This Row],[NameHelper]])</f>
        <v>28</v>
      </c>
      <c r="B30" s="31" t="e" vm="834">
        <f>IFERROR(INDEX(ImgDatabase!$D:$D, MATCH(Character[[#This Row],[NameHelper]], ImgDatabase!$E:$E, 0)), "")</f>
        <v>#VALUE!</v>
      </c>
      <c r="C30" s="30" t="s">
        <v>518</v>
      </c>
      <c r="D30" s="30" t="s">
        <v>518</v>
      </c>
      <c r="E30" s="29" t="e" vm="50">
        <f>IFERROR(INDEX(ImgDatabase!$G:$G, MATCH(Character[[#This Row],[NameHelper]], ImgDatabase!$E:$E, 0)), "")</f>
        <v>#VALUE!</v>
      </c>
      <c r="F30" s="29" t="e" vm="487">
        <f>IFERROR(INDEX(CharacterDetailsImg[Weapon Type], MATCH(Character[[#This Row],[NameHelper]], CharacterDetailsImg[Name], 0)), "")</f>
        <v>#VALUE!</v>
      </c>
      <c r="G30" s="53">
        <f>IFERROR(INDEX(CharacterDetailsImg[Released Version], MATCH(Character[[#This Row],[NameHelper]], CharacterDetailsImg[Name], 0)), "")</f>
        <v>4.4000000000000004</v>
      </c>
      <c r="H30" s="108">
        <v>22</v>
      </c>
      <c r="I30" s="29">
        <v>1</v>
      </c>
      <c r="J30" s="29">
        <v>1</v>
      </c>
      <c r="K30" s="40">
        <v>1</v>
      </c>
      <c r="M30" s="108">
        <v>81</v>
      </c>
      <c r="N30" s="29">
        <v>1</v>
      </c>
      <c r="O30" s="29">
        <v>9</v>
      </c>
      <c r="P30" s="40">
        <v>9</v>
      </c>
      <c r="R30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249</v>
      </c>
      <c r="T30" s="108" t="e" vm="439">
        <f>IFERROR(INDEX(ImgDatabase!$I:$I, MATCH(Character[[#This Row],[NameHelper]], ImgDatabase!$E:$E, 0)), "")</f>
        <v>#VALUE!</v>
      </c>
      <c r="U30" s="40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46</v>
      </c>
      <c r="W30" s="64" t="e" vm="211">
        <f>IFERROR(INDEX(ImgDatabase!$K:$K, MATCH(Character[[#This Row],[NameHelper]], ImgDatabase!$E:$E, 0)), "")</f>
        <v>#VALUE!</v>
      </c>
      <c r="X30" s="28">
        <f t="shared" si="0"/>
        <v>44</v>
      </c>
      <c r="Y30" s="28">
        <f t="shared" si="1"/>
        <v>43</v>
      </c>
      <c r="Z30" s="72">
        <f t="shared" si="2"/>
        <v>25</v>
      </c>
      <c r="AA30" s="28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30" s="28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30" s="28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30" s="28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22</v>
      </c>
      <c r="AE30" s="28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21</v>
      </c>
      <c r="AF30" s="28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3</v>
      </c>
      <c r="AG30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H30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I30" s="72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K30" s="64" t="e" vm="114">
        <f>IFERROR(INDEX(ImgDatabase!$J:$J, MATCH(Character[[#This Row],[NameHelper]], ImgDatabase!$E:$E, 0)), "")</f>
        <v>#VALUE!</v>
      </c>
      <c r="AL30" s="72">
        <f>SUM(WeeklyBoss[[#This Row],[NA]:[Burst]])</f>
        <v>8</v>
      </c>
      <c r="AM30" s="2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30" s="2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30" s="40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30" s="108" t="e" vm="457">
        <f>IFERROR(INDEX(ImgDatabase!$M:$M, MATCH(Character[[#This Row],[NameHelper]], ImgDatabase!$E:$E, 0)), "")</f>
        <v>#VALUE!</v>
      </c>
      <c r="AR30" s="40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T30" s="108" t="e" vm="56">
        <f>IFERROR(INDEX(ImgDatabase!$N:$N, MATCH(Character[[#This Row],[NameHelper]], ImgDatabase!$E:$E, 0)), "")</f>
        <v>#VALUE!</v>
      </c>
      <c r="AU30" s="2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30" s="2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W30" s="2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X30" s="2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30" s="29" t="e" vm="469">
        <f>IFERROR(INDEX(ImgDatabase!$L:$L, MATCH(Character[[#This Row],[NameHelper]], ImgDatabase!$E:$E, 0)), "")</f>
        <v>#VALUE!</v>
      </c>
      <c r="BA30" s="39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BB30" s="2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BC30" s="40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BD30" s="71">
        <f t="shared" si="3"/>
        <v>38</v>
      </c>
      <c r="BE30" s="28">
        <f t="shared" si="4"/>
        <v>44</v>
      </c>
      <c r="BF30" s="72">
        <f t="shared" si="5"/>
        <v>12</v>
      </c>
      <c r="BG30" s="71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30" s="2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30" s="2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30" s="2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30" s="2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30" s="2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30" s="2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30" s="2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30" s="72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30" s="91">
        <f t="shared" si="6"/>
        <v>74</v>
      </c>
      <c r="BQ30" s="34">
        <f t="shared" si="7"/>
        <v>74</v>
      </c>
      <c r="BR30" s="92">
        <f t="shared" si="8"/>
        <v>27</v>
      </c>
      <c r="BT30" s="100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1394170</v>
      </c>
      <c r="BU30" s="35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30" s="35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30" s="35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30" s="101">
        <f>SUM(Table40[[#This Row],[Ascension
Cost]:[Talent Cost
(Burst)]])</f>
        <v>3299170</v>
      </c>
    </row>
    <row r="31" spans="1:76" ht="30" customHeight="1" x14ac:dyDescent="0.25">
      <c r="A31" s="52">
        <f>SUBTOTAL(3,$D$3:Character[[#This Row],[NameHelper]])</f>
        <v>29</v>
      </c>
      <c r="B31" s="31" t="e" vm="835">
        <f>IFERROR(INDEX(ImgDatabase!$D:$D, MATCH(Character[[#This Row],[NameHelper]], ImgDatabase!$E:$E, 0)), "")</f>
        <v>#VALUE!</v>
      </c>
      <c r="C31" s="30" t="s">
        <v>433</v>
      </c>
      <c r="D31" s="30" t="s">
        <v>433</v>
      </c>
      <c r="E31" s="29" t="e" vm="164">
        <f>IFERROR(INDEX(ImgDatabase!$G:$G, MATCH(Character[[#This Row],[NameHelper]], ImgDatabase!$E:$E, 0)), "")</f>
        <v>#VALUE!</v>
      </c>
      <c r="F31" s="29" t="e" vm="359">
        <f>IFERROR(INDEX(CharacterDetailsImg[Weapon Type], MATCH(Character[[#This Row],[NameHelper]], CharacterDetailsImg[Name], 0)), "")</f>
        <v>#VALUE!</v>
      </c>
      <c r="G31" s="53">
        <f>IFERROR(INDEX(CharacterDetailsImg[Released Version], MATCH(Character[[#This Row],[NameHelper]], CharacterDetailsImg[Name], 0)), "")</f>
        <v>1.2</v>
      </c>
      <c r="H31" s="108">
        <v>90</v>
      </c>
      <c r="I31" s="29">
        <v>10</v>
      </c>
      <c r="J31" s="29">
        <v>8</v>
      </c>
      <c r="K31" s="40">
        <v>10</v>
      </c>
      <c r="M31" s="108">
        <v>81</v>
      </c>
      <c r="N31" s="29">
        <v>1</v>
      </c>
      <c r="O31" s="29">
        <v>9</v>
      </c>
      <c r="P31" s="40">
        <v>9</v>
      </c>
      <c r="R31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31" s="108" t="e" vm="165">
        <f>IFERROR(INDEX(ImgDatabase!$I:$I, MATCH(Character[[#This Row],[NameHelper]], ImgDatabase!$E:$E, 0)), "")</f>
        <v>#VALUE!</v>
      </c>
      <c r="U31" s="61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0</v>
      </c>
      <c r="W31" s="64" t="e" vm="151">
        <f>IFERROR(INDEX(ImgDatabase!$K:$K, MATCH(Character[[#This Row],[NameHelper]], ImgDatabase!$E:$E, 0)), "")</f>
        <v>#VALUE!</v>
      </c>
      <c r="X31" s="26">
        <f t="shared" si="0"/>
        <v>12</v>
      </c>
      <c r="Y31" s="26">
        <f t="shared" si="1"/>
        <v>0</v>
      </c>
      <c r="Z31" s="73">
        <f t="shared" si="2"/>
        <v>0</v>
      </c>
      <c r="AA31" s="26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31" s="26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31" s="26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31" s="26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12</v>
      </c>
      <c r="AE31" s="26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0</v>
      </c>
      <c r="AF31" s="26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0</v>
      </c>
      <c r="AG31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H31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I31" s="73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K31" s="112" t="e" vm="418">
        <f>IFERROR(INDEX(ImgDatabase!$J:$J, MATCH(Character[[#This Row],[NameHelper]], ImgDatabase!$E:$E, 0)), "")</f>
        <v>#VALUE!</v>
      </c>
      <c r="AL31" s="73">
        <f>SUM(WeeklyBoss[[#This Row],[NA]:[Burst]])</f>
        <v>2</v>
      </c>
      <c r="AM31" s="27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31" s="27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2</v>
      </c>
      <c r="AO31" s="61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31" s="107" t="e" vm="419">
        <f>IFERROR(INDEX(ImgDatabase!$M:$M, MATCH(Character[[#This Row],[NameHelper]], ImgDatabase!$E:$E, 0)), "")</f>
        <v>#VALUE!</v>
      </c>
      <c r="AR31" s="61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31" s="107" t="e" vm="168">
        <f>IFERROR(INDEX(ImgDatabase!$N:$N, MATCH(Character[[#This Row],[NameHelper]], ImgDatabase!$E:$E, 0)), "")</f>
        <v>#VALUE!</v>
      </c>
      <c r="AU31" s="2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31" s="2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31" s="2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31" s="2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31" s="27" t="e" vm="115">
        <f>IFERROR(INDEX(ImgDatabase!$L:$L, MATCH(Character[[#This Row],[NameHelper]], ImgDatabase!$E:$E, 0)), "")</f>
        <v>#VALUE!</v>
      </c>
      <c r="BA31" s="8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31" s="2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31" s="61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31" s="82">
        <f t="shared" si="3"/>
        <v>9</v>
      </c>
      <c r="BE31" s="26">
        <f t="shared" si="4"/>
        <v>0</v>
      </c>
      <c r="BF31" s="73">
        <f t="shared" si="5"/>
        <v>0</v>
      </c>
      <c r="BG31" s="82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31" s="26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31" s="26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31" s="26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9</v>
      </c>
      <c r="BK31" s="26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31" s="26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31" s="26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31" s="26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31" s="73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31" s="89">
        <f t="shared" si="6"/>
        <v>9</v>
      </c>
      <c r="BQ31" s="32">
        <f t="shared" si="7"/>
        <v>0</v>
      </c>
      <c r="BR31" s="90">
        <f t="shared" si="8"/>
        <v>0</v>
      </c>
      <c r="BT31" s="102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31" s="33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31" s="33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450000</v>
      </c>
      <c r="BW31" s="33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31" s="103">
        <f>SUM(Table40[[#This Row],[Ascension
Cost]:[Talent Cost
(Burst)]])</f>
        <v>450000</v>
      </c>
    </row>
    <row r="32" spans="1:76" ht="30" customHeight="1" x14ac:dyDescent="0.25">
      <c r="A32" s="52">
        <f>SUBTOTAL(3,$D$3:Character[[#This Row],[NameHelper]])</f>
        <v>30</v>
      </c>
      <c r="B32" s="31" t="e" vm="836">
        <f>IFERROR(INDEX(ImgDatabase!$D:$D, MATCH(Character[[#This Row],[NameHelper]], ImgDatabase!$E:$E, 0)), "")</f>
        <v>#VALUE!</v>
      </c>
      <c r="C32" s="30" t="s">
        <v>439</v>
      </c>
      <c r="D32" s="30" t="s">
        <v>439</v>
      </c>
      <c r="E32" s="29" t="e" vm="6">
        <f>IFERROR(INDEX(ImgDatabase!$G:$G, MATCH(Character[[#This Row],[NameHelper]], ImgDatabase!$E:$E, 0)), "")</f>
        <v>#VALUE!</v>
      </c>
      <c r="F32" s="29" t="e" vm="359">
        <f>IFERROR(INDEX(CharacterDetailsImg[Weapon Type], MATCH(Character[[#This Row],[NameHelper]], CharacterDetailsImg[Name], 0)), "")</f>
        <v>#VALUE!</v>
      </c>
      <c r="G32" s="53">
        <f>IFERROR(INDEX(CharacterDetailsImg[Released Version], MATCH(Character[[#This Row],[NameHelper]], CharacterDetailsImg[Name], 0)), "")</f>
        <v>2.2999999999999998</v>
      </c>
      <c r="H32" s="108">
        <v>21</v>
      </c>
      <c r="I32" s="29">
        <v>1</v>
      </c>
      <c r="J32" s="29">
        <v>1</v>
      </c>
      <c r="K32" s="40">
        <v>1</v>
      </c>
      <c r="M32" s="108">
        <v>81</v>
      </c>
      <c r="N32" s="29">
        <v>1</v>
      </c>
      <c r="O32" s="29">
        <v>9</v>
      </c>
      <c r="P32" s="40">
        <v>9</v>
      </c>
      <c r="R32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250</v>
      </c>
      <c r="T32" s="108" t="e" vm="180">
        <f>IFERROR(INDEX(ImgDatabase!$I:$I, MATCH(Character[[#This Row],[NameHelper]], ImgDatabase!$E:$E, 0)), "")</f>
        <v>#VALUE!</v>
      </c>
      <c r="U32" s="40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46</v>
      </c>
      <c r="W32" s="64" t="e" vm="74">
        <f>IFERROR(INDEX(ImgDatabase!$K:$K, MATCH(Character[[#This Row],[NameHelper]], ImgDatabase!$E:$E, 0)), "")</f>
        <v>#VALUE!</v>
      </c>
      <c r="X32" s="28">
        <f t="shared" si="0"/>
        <v>44</v>
      </c>
      <c r="Y32" s="28">
        <f t="shared" si="1"/>
        <v>43</v>
      </c>
      <c r="Z32" s="72">
        <f t="shared" si="2"/>
        <v>25</v>
      </c>
      <c r="AA32" s="28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32" s="28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32" s="28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32" s="28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22</v>
      </c>
      <c r="AE32" s="28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21</v>
      </c>
      <c r="AF32" s="28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3</v>
      </c>
      <c r="AG32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H32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I32" s="72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K32" s="64" t="e" vm="361">
        <f>IFERROR(INDEX(ImgDatabase!$J:$J, MATCH(Character[[#This Row],[NameHelper]], ImgDatabase!$E:$E, 0)), "")</f>
        <v>#VALUE!</v>
      </c>
      <c r="AL32" s="72">
        <f>SUM(WeeklyBoss[[#This Row],[NA]:[Burst]])</f>
        <v>8</v>
      </c>
      <c r="AM32" s="2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32" s="2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32" s="40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32" s="108" t="e" vm="425">
        <f>IFERROR(INDEX(ImgDatabase!$M:$M, MATCH(Character[[#This Row],[NameHelper]], ImgDatabase!$E:$E, 0)), "")</f>
        <v>#VALUE!</v>
      </c>
      <c r="AR32" s="40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T32" s="108" t="e" vm="12">
        <f>IFERROR(INDEX(ImgDatabase!$N:$N, MATCH(Character[[#This Row],[NameHelper]], ImgDatabase!$E:$E, 0)), "")</f>
        <v>#VALUE!</v>
      </c>
      <c r="AU32" s="2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32" s="2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W32" s="2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X32" s="2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32" s="29" t="e" vm="75">
        <f>IFERROR(INDEX(ImgDatabase!$L:$L, MATCH(Character[[#This Row],[NameHelper]], ImgDatabase!$E:$E, 0)), "")</f>
        <v>#VALUE!</v>
      </c>
      <c r="BA32" s="39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BB32" s="2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BC32" s="40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BD32" s="71">
        <f t="shared" si="3"/>
        <v>38</v>
      </c>
      <c r="BE32" s="28">
        <f t="shared" si="4"/>
        <v>44</v>
      </c>
      <c r="BF32" s="72">
        <f t="shared" si="5"/>
        <v>12</v>
      </c>
      <c r="BG32" s="71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32" s="2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32" s="2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32" s="2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32" s="2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32" s="2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32" s="2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32" s="2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32" s="72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32" s="91">
        <f t="shared" si="6"/>
        <v>74</v>
      </c>
      <c r="BQ32" s="34">
        <f t="shared" si="7"/>
        <v>74</v>
      </c>
      <c r="BR32" s="92">
        <f t="shared" si="8"/>
        <v>27</v>
      </c>
      <c r="BT32" s="100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1397530</v>
      </c>
      <c r="BU32" s="35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32" s="35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32" s="35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32" s="101">
        <f>SUM(Table40[[#This Row],[Ascension
Cost]:[Talent Cost
(Burst)]])</f>
        <v>3302530</v>
      </c>
    </row>
    <row r="33" spans="1:76" ht="30" customHeight="1" x14ac:dyDescent="0.25">
      <c r="A33" s="52">
        <f>SUBTOTAL(3,$D$3:Character[[#This Row],[NameHelper]])</f>
        <v>31</v>
      </c>
      <c r="B33" s="31" t="e" vm="837">
        <f>IFERROR(INDEX(ImgDatabase!$D:$D, MATCH(Character[[#This Row],[NameHelper]], ImgDatabase!$E:$E, 0)), "")</f>
        <v>#VALUE!</v>
      </c>
      <c r="C33" s="30" t="s">
        <v>745</v>
      </c>
      <c r="D33" s="30" t="s">
        <v>584</v>
      </c>
      <c r="E33" s="29" t="e" vm="50">
        <f>IFERROR(INDEX(ImgDatabase!$G:$G, MATCH(Character[[#This Row],[NameHelper]], ImgDatabase!$E:$E, 0)), "")</f>
        <v>#VALUE!</v>
      </c>
      <c r="F33" s="29" t="e" vm="551">
        <f>IFERROR(INDEX(CharacterDetailsImg[Weapon Type], MATCH(Character[[#This Row],[NameHelper]], CharacterDetailsImg[Name], 0)), "")</f>
        <v>#VALUE!</v>
      </c>
      <c r="G33" s="53">
        <f>IFERROR(INDEX(CharacterDetailsImg[Released Version], MATCH(Character[[#This Row],[NameHelper]], CharacterDetailsImg[Name], 0)), "")</f>
        <v>1.3</v>
      </c>
      <c r="H33" s="108">
        <v>90</v>
      </c>
      <c r="I33" s="29">
        <v>10</v>
      </c>
      <c r="J33" s="29">
        <v>10</v>
      </c>
      <c r="K33" s="40">
        <v>10</v>
      </c>
      <c r="M33" s="108">
        <v>81</v>
      </c>
      <c r="N33" s="29">
        <v>1</v>
      </c>
      <c r="O33" s="29">
        <v>9</v>
      </c>
      <c r="P33" s="40">
        <v>9</v>
      </c>
      <c r="R33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33" s="108" t="e" vm="601">
        <f>IFERROR(INDEX(ImgDatabase!$I:$I, MATCH(Character[[#This Row],[NameHelper]], ImgDatabase!$E:$E, 0)), "")</f>
        <v>#VALUE!</v>
      </c>
      <c r="U33" s="61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0</v>
      </c>
      <c r="W33" s="64" t="e" vm="151">
        <f>IFERROR(INDEX(ImgDatabase!$K:$K, MATCH(Character[[#This Row],[NameHelper]], ImgDatabase!$E:$E, 0)), "")</f>
        <v>#VALUE!</v>
      </c>
      <c r="X33" s="26">
        <f t="shared" si="0"/>
        <v>0</v>
      </c>
      <c r="Y33" s="26">
        <f t="shared" si="1"/>
        <v>0</v>
      </c>
      <c r="Z33" s="73">
        <f t="shared" si="2"/>
        <v>0</v>
      </c>
      <c r="AA33" s="26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33" s="26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33" s="26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33" s="26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0</v>
      </c>
      <c r="AE33" s="26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0</v>
      </c>
      <c r="AF33" s="26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0</v>
      </c>
      <c r="AG33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H33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I33" s="73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K33" s="112" t="e" vm="393">
        <f>IFERROR(INDEX(ImgDatabase!$J:$J, MATCH(Character[[#This Row],[NameHelper]], ImgDatabase!$E:$E, 0)), "")</f>
        <v>#VALUE!</v>
      </c>
      <c r="AL33" s="73">
        <f>SUM(WeeklyBoss[[#This Row],[NA]:[Burst]])</f>
        <v>0</v>
      </c>
      <c r="AM33" s="27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33" s="27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33" s="61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33" s="107" t="e" vm="350">
        <f>IFERROR(INDEX(ImgDatabase!$M:$M, MATCH(Character[[#This Row],[NameHelper]], ImgDatabase!$E:$E, 0)), "")</f>
        <v>#VALUE!</v>
      </c>
      <c r="AR33" s="61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33" s="107" t="e" vm="56">
        <f>IFERROR(INDEX(ImgDatabase!$N:$N, MATCH(Character[[#This Row],[NameHelper]], ImgDatabase!$E:$E, 0)), "")</f>
        <v>#VALUE!</v>
      </c>
      <c r="AU33" s="2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33" s="2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33" s="2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33" s="2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33" s="27" t="e" vm="115">
        <f>IFERROR(INDEX(ImgDatabase!$L:$L, MATCH(Character[[#This Row],[NameHelper]], ImgDatabase!$E:$E, 0)), "")</f>
        <v>#VALUE!</v>
      </c>
      <c r="BA33" s="8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33" s="2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33" s="61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33" s="82">
        <f t="shared" si="3"/>
        <v>0</v>
      </c>
      <c r="BE33" s="26">
        <f t="shared" si="4"/>
        <v>0</v>
      </c>
      <c r="BF33" s="73">
        <f t="shared" si="5"/>
        <v>0</v>
      </c>
      <c r="BG33" s="82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33" s="26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33" s="26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33" s="26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33" s="26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33" s="26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33" s="26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33" s="26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33" s="73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33" s="89">
        <f t="shared" si="6"/>
        <v>0</v>
      </c>
      <c r="BQ33" s="32">
        <f t="shared" si="7"/>
        <v>0</v>
      </c>
      <c r="BR33" s="90">
        <f t="shared" si="8"/>
        <v>0</v>
      </c>
      <c r="BT33" s="102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33" s="33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33" s="33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33" s="33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33" s="103">
        <f>SUM(Table40[[#This Row],[Ascension
Cost]:[Talent Cost
(Burst)]])</f>
        <v>0</v>
      </c>
    </row>
    <row r="34" spans="1:76" ht="30" customHeight="1" x14ac:dyDescent="0.25">
      <c r="A34" s="52">
        <f>SUBTOTAL(3,$D$3:Character[[#This Row],[NameHelper]])</f>
        <v>32</v>
      </c>
      <c r="B34" s="31" t="e" vm="838">
        <f>IFERROR(INDEX(ImgDatabase!$D:$D, MATCH(Character[[#This Row],[NameHelper]], ImgDatabase!$E:$E, 0)), "")</f>
        <v>#VALUE!</v>
      </c>
      <c r="C34" s="30" t="s">
        <v>167</v>
      </c>
      <c r="D34" s="30" t="s">
        <v>167</v>
      </c>
      <c r="E34" s="29" t="e" vm="131">
        <f>IFERROR(INDEX(ImgDatabase!$G:$G, MATCH(Character[[#This Row],[NameHelper]], ImgDatabase!$E:$E, 0)), "")</f>
        <v>#VALUE!</v>
      </c>
      <c r="F34" s="29" t="e" vm="5">
        <f>IFERROR(INDEX(CharacterDetailsImg[Weapon Type], MATCH(Character[[#This Row],[NameHelper]], CharacterDetailsImg[Name], 0)), "")</f>
        <v>#VALUE!</v>
      </c>
      <c r="G34" s="53">
        <f>IFERROR(INDEX(CharacterDetailsImg[Released Version], MATCH(Character[[#This Row],[NameHelper]], CharacterDetailsImg[Name], 0)), "")</f>
        <v>1</v>
      </c>
      <c r="H34" s="108">
        <v>40</v>
      </c>
      <c r="I34" s="29">
        <v>1</v>
      </c>
      <c r="J34" s="29">
        <v>1</v>
      </c>
      <c r="K34" s="40">
        <v>1</v>
      </c>
      <c r="M34" s="108">
        <v>81</v>
      </c>
      <c r="N34" s="29">
        <v>1</v>
      </c>
      <c r="O34" s="29">
        <v>9</v>
      </c>
      <c r="P34" s="40">
        <v>9</v>
      </c>
      <c r="R34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222</v>
      </c>
      <c r="T34" s="108" t="e" vm="132">
        <f>IFERROR(INDEX(ImgDatabase!$I:$I, MATCH(Character[[#This Row],[NameHelper]], ImgDatabase!$E:$E, 0)), "")</f>
        <v>#VALUE!</v>
      </c>
      <c r="U34" s="40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46</v>
      </c>
      <c r="W34" s="64" t="e" vm="53">
        <f>IFERROR(INDEX(ImgDatabase!$K:$K, MATCH(Character[[#This Row],[NameHelper]], ImgDatabase!$E:$E, 0)), "")</f>
        <v>#VALUE!</v>
      </c>
      <c r="X34" s="28">
        <f t="shared" si="0"/>
        <v>44</v>
      </c>
      <c r="Y34" s="28">
        <f t="shared" si="1"/>
        <v>43</v>
      </c>
      <c r="Z34" s="72">
        <f t="shared" si="2"/>
        <v>25</v>
      </c>
      <c r="AA34" s="28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34" s="28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34" s="28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34" s="28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22</v>
      </c>
      <c r="AE34" s="28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21</v>
      </c>
      <c r="AF34" s="28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3</v>
      </c>
      <c r="AG34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H34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I34" s="72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K34" s="64" t="e" vm="52">
        <f>IFERROR(INDEX(ImgDatabase!$J:$J, MATCH(Character[[#This Row],[NameHelper]], ImgDatabase!$E:$E, 0)), "")</f>
        <v>#VALUE!</v>
      </c>
      <c r="AL34" s="72">
        <f>SUM(WeeklyBoss[[#This Row],[NA]:[Burst]])</f>
        <v>8</v>
      </c>
      <c r="AM34" s="2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34" s="2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34" s="40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34" s="108" t="e" vm="134">
        <f>IFERROR(INDEX(ImgDatabase!$M:$M, MATCH(Character[[#This Row],[NameHelper]], ImgDatabase!$E:$E, 0)), "")</f>
        <v>#VALUE!</v>
      </c>
      <c r="AR34" s="40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T34" s="108" t="e" vm="135">
        <f>IFERROR(INDEX(ImgDatabase!$N:$N, MATCH(Character[[#This Row],[NameHelper]], ImgDatabase!$E:$E, 0)), "")</f>
        <v>#VALUE!</v>
      </c>
      <c r="AU34" s="2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34" s="2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W34" s="2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X34" s="2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34" s="29" t="e" vm="133">
        <f>IFERROR(INDEX(ImgDatabase!$L:$L, MATCH(Character[[#This Row],[NameHelper]], ImgDatabase!$E:$E, 0)), "")</f>
        <v>#VALUE!</v>
      </c>
      <c r="BA34" s="39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BB34" s="2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BC34" s="40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BD34" s="71">
        <f t="shared" si="3"/>
        <v>38</v>
      </c>
      <c r="BE34" s="28">
        <f t="shared" si="4"/>
        <v>44</v>
      </c>
      <c r="BF34" s="72">
        <f t="shared" si="5"/>
        <v>12</v>
      </c>
      <c r="BG34" s="71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34" s="2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34" s="2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34" s="2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34" s="2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34" s="2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34" s="2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34" s="2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34" s="72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34" s="91">
        <f t="shared" si="6"/>
        <v>74</v>
      </c>
      <c r="BQ34" s="34">
        <f t="shared" si="7"/>
        <v>74</v>
      </c>
      <c r="BR34" s="92">
        <f t="shared" si="8"/>
        <v>27</v>
      </c>
      <c r="BT34" s="100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1284840</v>
      </c>
      <c r="BU34" s="35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34" s="35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34" s="35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34" s="101">
        <f>SUM(Table40[[#This Row],[Ascension
Cost]:[Talent Cost
(Burst)]])</f>
        <v>3189840</v>
      </c>
    </row>
    <row r="35" spans="1:76" ht="30" customHeight="1" x14ac:dyDescent="0.25">
      <c r="A35" s="52">
        <f>SUBTOTAL(3,$D$3:Character[[#This Row],[NameHelper]])</f>
        <v>33</v>
      </c>
      <c r="B35" s="31" t="e" vm="839">
        <f>IFERROR(INDEX(ImgDatabase!$D:$D, MATCH(Character[[#This Row],[NameHelper]], ImgDatabase!$E:$E, 0)), "")</f>
        <v>#VALUE!</v>
      </c>
      <c r="C35" s="30" t="s">
        <v>191</v>
      </c>
      <c r="D35" s="30" t="s">
        <v>191</v>
      </c>
      <c r="E35" s="29" t="e" vm="164">
        <f>IFERROR(INDEX(ImgDatabase!$G:$G, MATCH(Character[[#This Row],[NameHelper]], ImgDatabase!$E:$E, 0)), "")</f>
        <v>#VALUE!</v>
      </c>
      <c r="F35" s="29" t="e" vm="5">
        <f>IFERROR(INDEX(CharacterDetailsImg[Weapon Type], MATCH(Character[[#This Row],[NameHelper]], CharacterDetailsImg[Name], 0)), "")</f>
        <v>#VALUE!</v>
      </c>
      <c r="G35" s="53">
        <f>IFERROR(INDEX(CharacterDetailsImg[Released Version], MATCH(Character[[#This Row],[NameHelper]], CharacterDetailsImg[Name], 0)), "")</f>
        <v>2</v>
      </c>
      <c r="H35" s="108">
        <v>40</v>
      </c>
      <c r="I35" s="29">
        <v>1</v>
      </c>
      <c r="J35" s="29">
        <v>1</v>
      </c>
      <c r="K35" s="40">
        <v>1</v>
      </c>
      <c r="M35" s="108">
        <v>81</v>
      </c>
      <c r="N35" s="29">
        <v>1</v>
      </c>
      <c r="O35" s="29">
        <v>9</v>
      </c>
      <c r="P35" s="40">
        <v>9</v>
      </c>
      <c r="R35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222</v>
      </c>
      <c r="T35" s="108" t="e" vm="165">
        <f>IFERROR(INDEX(ImgDatabase!$I:$I, MATCH(Character[[#This Row],[NameHelper]], ImgDatabase!$E:$E, 0)), "")</f>
        <v>#VALUE!</v>
      </c>
      <c r="U35" s="61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46</v>
      </c>
      <c r="W35" s="64" t="e" vm="9">
        <f>IFERROR(INDEX(ImgDatabase!$K:$K, MATCH(Character[[#This Row],[NameHelper]], ImgDatabase!$E:$E, 0)), "")</f>
        <v>#VALUE!</v>
      </c>
      <c r="X35" s="26">
        <f t="shared" ref="X35:X66" si="9">AA35+AD35+AG35</f>
        <v>44</v>
      </c>
      <c r="Y35" s="26">
        <f t="shared" ref="Y35:Y66" si="10">AB35+AE35+AH35</f>
        <v>43</v>
      </c>
      <c r="Z35" s="73">
        <f t="shared" ref="Z35:Z66" si="11">AC35+AF35+AI35</f>
        <v>25</v>
      </c>
      <c r="AA35" s="26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35" s="26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35" s="26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35" s="26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22</v>
      </c>
      <c r="AE35" s="26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21</v>
      </c>
      <c r="AF35" s="26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3</v>
      </c>
      <c r="AG35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H35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I35" s="73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K35" s="112" t="e" vm="166">
        <f>IFERROR(INDEX(ImgDatabase!$J:$J, MATCH(Character[[#This Row],[NameHelper]], ImgDatabase!$E:$E, 0)), "")</f>
        <v>#VALUE!</v>
      </c>
      <c r="AL35" s="73">
        <f>SUM(WeeklyBoss[[#This Row],[NA]:[Burst]])</f>
        <v>8</v>
      </c>
      <c r="AM35" s="27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35" s="27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35" s="61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35" s="107" t="e" vm="167">
        <f>IFERROR(INDEX(ImgDatabase!$M:$M, MATCH(Character[[#This Row],[NameHelper]], ImgDatabase!$E:$E, 0)), "")</f>
        <v>#VALUE!</v>
      </c>
      <c r="AR35" s="61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T35" s="107" t="e" vm="168">
        <f>IFERROR(INDEX(ImgDatabase!$N:$N, MATCH(Character[[#This Row],[NameHelper]], ImgDatabase!$E:$E, 0)), "")</f>
        <v>#VALUE!</v>
      </c>
      <c r="AU35" s="2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35" s="2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W35" s="2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X35" s="2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35" s="27" t="e" vm="54">
        <f>IFERROR(INDEX(ImgDatabase!$L:$L, MATCH(Character[[#This Row],[NameHelper]], ImgDatabase!$E:$E, 0)), "")</f>
        <v>#VALUE!</v>
      </c>
      <c r="BA35" s="8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BB35" s="2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BC35" s="61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BD35" s="82">
        <f t="shared" ref="BD35:BD66" si="12">SUM(BG35,BJ35,BM35)</f>
        <v>38</v>
      </c>
      <c r="BE35" s="26">
        <f t="shared" ref="BE35:BE66" si="13">SUM(BH35,BK35,BN35)</f>
        <v>44</v>
      </c>
      <c r="BF35" s="73">
        <f t="shared" ref="BF35:BF66" si="14">SUM(BI35,BL35,BO35)</f>
        <v>12</v>
      </c>
      <c r="BG35" s="82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35" s="26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35" s="26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35" s="26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35" s="26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35" s="26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35" s="26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35" s="26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35" s="73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35" s="89">
        <f t="shared" ref="BP35:BP66" si="15">SUM(BA35,BD35)</f>
        <v>74</v>
      </c>
      <c r="BQ35" s="32">
        <f t="shared" ref="BQ35:BQ66" si="16">SUM(BB35,BE35)</f>
        <v>74</v>
      </c>
      <c r="BR35" s="90">
        <f t="shared" ref="BR35:BR66" si="17">SUM(BC35,BF35)</f>
        <v>27</v>
      </c>
      <c r="BT35" s="102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1284840</v>
      </c>
      <c r="BU35" s="33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35" s="33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35" s="33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35" s="103">
        <f>SUM(Table40[[#This Row],[Ascension
Cost]:[Talent Cost
(Burst)]])</f>
        <v>3189840</v>
      </c>
    </row>
    <row r="36" spans="1:76" ht="30" customHeight="1" x14ac:dyDescent="0.25">
      <c r="A36" s="52">
        <f>SUBTOTAL(3,$D$3:Character[[#This Row],[NameHelper]])</f>
        <v>34</v>
      </c>
      <c r="B36" s="31" t="e" vm="840">
        <f>IFERROR(INDEX(ImgDatabase!$D:$D, MATCH(Character[[#This Row],[NameHelper]], ImgDatabase!$E:$E, 0)), "")</f>
        <v>#VALUE!</v>
      </c>
      <c r="C36" s="30" t="s">
        <v>746</v>
      </c>
      <c r="D36" s="30" t="s">
        <v>200</v>
      </c>
      <c r="E36" s="29" t="e" vm="164">
        <f>IFERROR(INDEX(ImgDatabase!$G:$G, MATCH(Character[[#This Row],[NameHelper]], ImgDatabase!$E:$E, 0)), "")</f>
        <v>#VALUE!</v>
      </c>
      <c r="F36" s="29" t="e" vm="5">
        <f>IFERROR(INDEX(CharacterDetailsImg[Weapon Type], MATCH(Character[[#This Row],[NameHelper]], CharacterDetailsImg[Name], 0)), "")</f>
        <v>#VALUE!</v>
      </c>
      <c r="G36" s="53">
        <f>IFERROR(INDEX(CharacterDetailsImg[Released Version], MATCH(Character[[#This Row],[NameHelper]], CharacterDetailsImg[Name], 0)), "")</f>
        <v>2.6</v>
      </c>
      <c r="H36" s="108">
        <v>90</v>
      </c>
      <c r="I36" s="29">
        <v>10</v>
      </c>
      <c r="J36" s="29">
        <v>10</v>
      </c>
      <c r="K36" s="40">
        <v>10</v>
      </c>
      <c r="M36" s="108">
        <v>81</v>
      </c>
      <c r="N36" s="29">
        <v>1</v>
      </c>
      <c r="O36" s="29">
        <v>9</v>
      </c>
      <c r="P36" s="40">
        <v>9</v>
      </c>
      <c r="R36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36" s="108" t="e" vm="180">
        <f>IFERROR(INDEX(ImgDatabase!$I:$I, MATCH(Character[[#This Row],[NameHelper]], ImgDatabase!$E:$E, 0)), "")</f>
        <v>#VALUE!</v>
      </c>
      <c r="U36" s="40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0</v>
      </c>
      <c r="W36" s="64" t="e" vm="182">
        <f>IFERROR(INDEX(ImgDatabase!$K:$K, MATCH(Character[[#This Row],[NameHelper]], ImgDatabase!$E:$E, 0)), "")</f>
        <v>#VALUE!</v>
      </c>
      <c r="X36" s="28">
        <f t="shared" si="9"/>
        <v>0</v>
      </c>
      <c r="Y36" s="28">
        <f t="shared" si="10"/>
        <v>0</v>
      </c>
      <c r="Z36" s="72">
        <f t="shared" si="11"/>
        <v>0</v>
      </c>
      <c r="AA36" s="28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36" s="28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36" s="28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36" s="28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0</v>
      </c>
      <c r="AE36" s="28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0</v>
      </c>
      <c r="AF36" s="28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0</v>
      </c>
      <c r="AG36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H36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I36" s="72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K36" s="64" t="e" vm="181">
        <f>IFERROR(INDEX(ImgDatabase!$J:$J, MATCH(Character[[#This Row],[NameHelper]], ImgDatabase!$E:$E, 0)), "")</f>
        <v>#VALUE!</v>
      </c>
      <c r="AL36" s="72">
        <f>SUM(WeeklyBoss[[#This Row],[NA]:[Burst]])</f>
        <v>0</v>
      </c>
      <c r="AM36" s="2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36" s="2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36" s="40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36" s="108" t="e" vm="184">
        <f>IFERROR(INDEX(ImgDatabase!$M:$M, MATCH(Character[[#This Row],[NameHelper]], ImgDatabase!$E:$E, 0)), "")</f>
        <v>#VALUE!</v>
      </c>
      <c r="AR36" s="40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36" s="108" t="e" vm="168">
        <f>IFERROR(INDEX(ImgDatabase!$N:$N, MATCH(Character[[#This Row],[NameHelper]], ImgDatabase!$E:$E, 0)), "")</f>
        <v>#VALUE!</v>
      </c>
      <c r="AU36" s="2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36" s="2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36" s="2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36" s="2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36" s="29" t="e" vm="183">
        <f>IFERROR(INDEX(ImgDatabase!$L:$L, MATCH(Character[[#This Row],[NameHelper]], ImgDatabase!$E:$E, 0)), "")</f>
        <v>#VALUE!</v>
      </c>
      <c r="BA36" s="39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36" s="2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36" s="40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36" s="71">
        <f t="shared" si="12"/>
        <v>0</v>
      </c>
      <c r="BE36" s="28">
        <f t="shared" si="13"/>
        <v>0</v>
      </c>
      <c r="BF36" s="72">
        <f t="shared" si="14"/>
        <v>0</v>
      </c>
      <c r="BG36" s="71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36" s="2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36" s="2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36" s="2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36" s="2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36" s="2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36" s="2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36" s="2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36" s="72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36" s="91">
        <f t="shared" si="15"/>
        <v>0</v>
      </c>
      <c r="BQ36" s="34">
        <f t="shared" si="16"/>
        <v>0</v>
      </c>
      <c r="BR36" s="92">
        <f t="shared" si="17"/>
        <v>0</v>
      </c>
      <c r="BT36" s="100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36" s="35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36" s="35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36" s="35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36" s="101">
        <f>SUM(Table40[[#This Row],[Ascension
Cost]:[Talent Cost
(Burst)]])</f>
        <v>0</v>
      </c>
    </row>
    <row r="37" spans="1:76" ht="30" customHeight="1" x14ac:dyDescent="0.25">
      <c r="A37" s="52">
        <f>SUBTOTAL(3,$D$3:Character[[#This Row],[NameHelper]])</f>
        <v>35</v>
      </c>
      <c r="B37" s="31" t="e" vm="841">
        <f>IFERROR(INDEX(ImgDatabase!$D:$D, MATCH(Character[[#This Row],[NameHelper]], ImgDatabase!$E:$E, 0)), "")</f>
        <v>#VALUE!</v>
      </c>
      <c r="C37" s="30" t="s">
        <v>747</v>
      </c>
      <c r="D37" s="30" t="s">
        <v>212</v>
      </c>
      <c r="E37" s="29" t="e" vm="112">
        <f>IFERROR(INDEX(ImgDatabase!$G:$G, MATCH(Character[[#This Row],[NameHelper]], ImgDatabase!$E:$E, 0)), "")</f>
        <v>#VALUE!</v>
      </c>
      <c r="F37" s="29" t="e" vm="5">
        <f>IFERROR(INDEX(CharacterDetailsImg[Weapon Type], MATCH(Character[[#This Row],[NameHelper]], CharacterDetailsImg[Name], 0)), "")</f>
        <v>#VALUE!</v>
      </c>
      <c r="G37" s="53">
        <f>IFERROR(INDEX(CharacterDetailsImg[Released Version], MATCH(Character[[#This Row],[NameHelper]], CharacterDetailsImg[Name], 0)), "")</f>
        <v>3.6</v>
      </c>
      <c r="H37" s="108">
        <v>0</v>
      </c>
      <c r="I37" s="29">
        <v>0</v>
      </c>
      <c r="J37" s="29">
        <v>0</v>
      </c>
      <c r="K37" s="40">
        <v>0</v>
      </c>
      <c r="M37" s="108">
        <v>81</v>
      </c>
      <c r="N37" s="29">
        <v>1</v>
      </c>
      <c r="O37" s="29">
        <v>9</v>
      </c>
      <c r="P37" s="40">
        <v>9</v>
      </c>
      <c r="R37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37" s="108" t="e" vm="196">
        <f>IFERROR(INDEX(ImgDatabase!$I:$I, MATCH(Character[[#This Row],[NameHelper]], ImgDatabase!$E:$E, 0)), "")</f>
        <v>#VALUE!</v>
      </c>
      <c r="U37" s="61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0</v>
      </c>
      <c r="W37" s="64" t="e" vm="182">
        <f>IFERROR(INDEX(ImgDatabase!$K:$K, MATCH(Character[[#This Row],[NameHelper]], ImgDatabase!$E:$E, 0)), "")</f>
        <v>#VALUE!</v>
      </c>
      <c r="X37" s="26">
        <f t="shared" si="9"/>
        <v>0</v>
      </c>
      <c r="Y37" s="26">
        <f t="shared" si="10"/>
        <v>0</v>
      </c>
      <c r="Z37" s="73">
        <f t="shared" si="11"/>
        <v>0</v>
      </c>
      <c r="AA37" s="26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37" s="26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37" s="26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37" s="26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0</v>
      </c>
      <c r="AE37" s="26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0</v>
      </c>
      <c r="AF37" s="26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0</v>
      </c>
      <c r="AG37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H37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I37" s="73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K37" s="112" t="e" vm="197">
        <f>IFERROR(INDEX(ImgDatabase!$J:$J, MATCH(Character[[#This Row],[NameHelper]], ImgDatabase!$E:$E, 0)), "")</f>
        <v>#VALUE!</v>
      </c>
      <c r="AL37" s="73">
        <f>SUM(WeeklyBoss[[#This Row],[NA]:[Burst]])</f>
        <v>0</v>
      </c>
      <c r="AM37" s="27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37" s="27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37" s="61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37" s="107" t="e" vm="184">
        <f>IFERROR(INDEX(ImgDatabase!$M:$M, MATCH(Character[[#This Row],[NameHelper]], ImgDatabase!$E:$E, 0)), "")</f>
        <v>#VALUE!</v>
      </c>
      <c r="AR37" s="61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37" s="107" t="e" vm="117">
        <f>IFERROR(INDEX(ImgDatabase!$N:$N, MATCH(Character[[#This Row],[NameHelper]], ImgDatabase!$E:$E, 0)), "")</f>
        <v>#VALUE!</v>
      </c>
      <c r="AU37" s="2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37" s="2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37" s="2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37" s="2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37" s="27" t="e" vm="183">
        <f>IFERROR(INDEX(ImgDatabase!$L:$L, MATCH(Character[[#This Row],[NameHelper]], ImgDatabase!$E:$E, 0)), "")</f>
        <v>#VALUE!</v>
      </c>
      <c r="BA37" s="8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37" s="2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37" s="61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37" s="82">
        <f t="shared" si="12"/>
        <v>0</v>
      </c>
      <c r="BE37" s="26">
        <f t="shared" si="13"/>
        <v>0</v>
      </c>
      <c r="BF37" s="73">
        <f t="shared" si="14"/>
        <v>0</v>
      </c>
      <c r="BG37" s="82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37" s="26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37" s="26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37" s="26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37" s="26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37" s="26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37" s="26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37" s="26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37" s="73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37" s="89">
        <f t="shared" si="15"/>
        <v>0</v>
      </c>
      <c r="BQ37" s="32">
        <f t="shared" si="16"/>
        <v>0</v>
      </c>
      <c r="BR37" s="90">
        <f t="shared" si="17"/>
        <v>0</v>
      </c>
      <c r="BT37" s="102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37" s="33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37" s="33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37" s="33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37" s="103">
        <f>SUM(Table40[[#This Row],[Ascension
Cost]:[Talent Cost
(Burst)]])</f>
        <v>0</v>
      </c>
    </row>
    <row r="38" spans="1:76" ht="30" customHeight="1" x14ac:dyDescent="0.25">
      <c r="A38" s="52">
        <f>SUBTOTAL(3,$D$3:Character[[#This Row],[NameHelper]])</f>
        <v>36</v>
      </c>
      <c r="B38" s="31" t="e" vm="842">
        <f>IFERROR(INDEX(ImgDatabase!$D:$D, MATCH(Character[[#This Row],[NameHelper]], ImgDatabase!$E:$E, 0)), "")</f>
        <v>#VALUE!</v>
      </c>
      <c r="C38" s="30" t="s">
        <v>521</v>
      </c>
      <c r="D38" s="30" t="s">
        <v>521</v>
      </c>
      <c r="E38" s="29" t="e" vm="28">
        <f>IFERROR(INDEX(ImgDatabase!$G:$G, MATCH(Character[[#This Row],[NameHelper]], ImgDatabase!$E:$E, 0)), "")</f>
        <v>#VALUE!</v>
      </c>
      <c r="F38" s="29" t="e" vm="487">
        <f>IFERROR(INDEX(CharacterDetailsImg[Weapon Type], MATCH(Character[[#This Row],[NameHelper]], CharacterDetailsImg[Name], 0)), "")</f>
        <v>#VALUE!</v>
      </c>
      <c r="G38" s="53">
        <f>IFERROR(INDEX(CharacterDetailsImg[Released Version], MATCH(Character[[#This Row],[NameHelper]], CharacterDetailsImg[Name], 0)), "")</f>
        <v>1.6</v>
      </c>
      <c r="H38" s="108">
        <v>22</v>
      </c>
      <c r="I38" s="29">
        <v>1</v>
      </c>
      <c r="J38" s="29">
        <v>1</v>
      </c>
      <c r="K38" s="40">
        <v>1</v>
      </c>
      <c r="M38" s="108">
        <v>81</v>
      </c>
      <c r="N38" s="29">
        <v>1</v>
      </c>
      <c r="O38" s="29">
        <v>9</v>
      </c>
      <c r="P38" s="40">
        <v>9</v>
      </c>
      <c r="R38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249</v>
      </c>
      <c r="T38" s="108" t="e" vm="527">
        <f>IFERROR(INDEX(ImgDatabase!$I:$I, MATCH(Character[[#This Row],[NameHelper]], ImgDatabase!$E:$E, 0)), "")</f>
        <v>#VALUE!</v>
      </c>
      <c r="U38" s="40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46</v>
      </c>
      <c r="W38" s="64" t="e" vm="31">
        <f>IFERROR(INDEX(ImgDatabase!$K:$K, MATCH(Character[[#This Row],[NameHelper]], ImgDatabase!$E:$E, 0)), "")</f>
        <v>#VALUE!</v>
      </c>
      <c r="X38" s="28">
        <f t="shared" si="9"/>
        <v>44</v>
      </c>
      <c r="Y38" s="28">
        <f t="shared" si="10"/>
        <v>43</v>
      </c>
      <c r="Z38" s="72">
        <f t="shared" si="11"/>
        <v>25</v>
      </c>
      <c r="AA38" s="28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38" s="28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38" s="28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38" s="28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22</v>
      </c>
      <c r="AE38" s="28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21</v>
      </c>
      <c r="AF38" s="28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3</v>
      </c>
      <c r="AG38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H38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I38" s="72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K38" s="64" t="e" vm="440">
        <f>IFERROR(INDEX(ImgDatabase!$J:$J, MATCH(Character[[#This Row],[NameHelper]], ImgDatabase!$E:$E, 0)), "")</f>
        <v>#VALUE!</v>
      </c>
      <c r="AL38" s="72">
        <f>SUM(WeeklyBoss[[#This Row],[NA]:[Burst]])</f>
        <v>8</v>
      </c>
      <c r="AM38" s="2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38" s="2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38" s="40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38" s="108" t="e" vm="528">
        <f>IFERROR(INDEX(ImgDatabase!$M:$M, MATCH(Character[[#This Row],[NameHelper]], ImgDatabase!$E:$E, 0)), "")</f>
        <v>#VALUE!</v>
      </c>
      <c r="AR38" s="40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T38" s="108" t="e" vm="34">
        <f>IFERROR(INDEX(ImgDatabase!$N:$N, MATCH(Character[[#This Row],[NameHelper]], ImgDatabase!$E:$E, 0)), "")</f>
        <v>#VALUE!</v>
      </c>
      <c r="AU38" s="2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38" s="2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W38" s="2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X38" s="2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38" s="29" t="e" vm="271">
        <f>IFERROR(INDEX(ImgDatabase!$L:$L, MATCH(Character[[#This Row],[NameHelper]], ImgDatabase!$E:$E, 0)), "")</f>
        <v>#VALUE!</v>
      </c>
      <c r="BA38" s="39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BB38" s="2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BC38" s="40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BD38" s="71">
        <f t="shared" si="12"/>
        <v>38</v>
      </c>
      <c r="BE38" s="28">
        <f t="shared" si="13"/>
        <v>44</v>
      </c>
      <c r="BF38" s="72">
        <f t="shared" si="14"/>
        <v>12</v>
      </c>
      <c r="BG38" s="71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38" s="2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38" s="2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38" s="2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38" s="2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38" s="2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38" s="2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38" s="2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38" s="72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38" s="91">
        <f t="shared" si="15"/>
        <v>74</v>
      </c>
      <c r="BQ38" s="34">
        <f t="shared" si="16"/>
        <v>74</v>
      </c>
      <c r="BR38" s="92">
        <f t="shared" si="17"/>
        <v>27</v>
      </c>
      <c r="BT38" s="100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1394170</v>
      </c>
      <c r="BU38" s="35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38" s="35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38" s="35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38" s="101">
        <f>SUM(Table40[[#This Row],[Ascension
Cost]:[Talent Cost
(Burst)]])</f>
        <v>3299170</v>
      </c>
    </row>
    <row r="39" spans="1:76" ht="30" customHeight="1" x14ac:dyDescent="0.25">
      <c r="A39" s="52">
        <f>SUBTOTAL(3,$D$3:Character[[#This Row],[NameHelper]])</f>
        <v>37</v>
      </c>
      <c r="B39" s="31" t="e" vm="843">
        <f>IFERROR(INDEX(ImgDatabase!$D:$D, MATCH(Character[[#This Row],[NameHelper]], ImgDatabase!$E:$E, 0)), "")</f>
        <v>#VALUE!</v>
      </c>
      <c r="C39" s="30" t="s">
        <v>748</v>
      </c>
      <c r="D39" s="30" t="s">
        <v>181</v>
      </c>
      <c r="E39" s="29" t="e" vm="131">
        <f>IFERROR(INDEX(ImgDatabase!$G:$G, MATCH(Character[[#This Row],[NameHelper]], ImgDatabase!$E:$E, 0)), "")</f>
        <v>#VALUE!</v>
      </c>
      <c r="F39" s="29" t="e" vm="5">
        <f>IFERROR(INDEX(CharacterDetailsImg[Weapon Type], MATCH(Character[[#This Row],[NameHelper]], CharacterDetailsImg[Name], 0)), "")</f>
        <v>#VALUE!</v>
      </c>
      <c r="G39" s="53">
        <f>IFERROR(INDEX(CharacterDetailsImg[Released Version], MATCH(Character[[#This Row],[NameHelper]], CharacterDetailsImg[Name], 0)), "")</f>
        <v>1</v>
      </c>
      <c r="H39" s="108">
        <v>90</v>
      </c>
      <c r="I39" s="29">
        <v>1</v>
      </c>
      <c r="J39" s="29">
        <v>9</v>
      </c>
      <c r="K39" s="40">
        <v>9</v>
      </c>
      <c r="M39" s="108">
        <v>81</v>
      </c>
      <c r="N39" s="29">
        <v>1</v>
      </c>
      <c r="O39" s="29">
        <v>9</v>
      </c>
      <c r="P39" s="40">
        <v>9</v>
      </c>
      <c r="R39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39" s="108" t="e" vm="149">
        <f>IFERROR(INDEX(ImgDatabase!$I:$I, MATCH(Character[[#This Row],[NameHelper]], ImgDatabase!$E:$E, 0)), "")</f>
        <v>#VALUE!</v>
      </c>
      <c r="U39" s="61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0</v>
      </c>
      <c r="W39" s="64" t="e" vm="151">
        <f>IFERROR(INDEX(ImgDatabase!$K:$K, MATCH(Character[[#This Row],[NameHelper]], ImgDatabase!$E:$E, 0)), "")</f>
        <v>#VALUE!</v>
      </c>
      <c r="X39" s="26">
        <f t="shared" si="9"/>
        <v>0</v>
      </c>
      <c r="Y39" s="26">
        <f t="shared" si="10"/>
        <v>0</v>
      </c>
      <c r="Z39" s="73">
        <f t="shared" si="11"/>
        <v>0</v>
      </c>
      <c r="AA39" s="26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39" s="26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39" s="26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39" s="26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0</v>
      </c>
      <c r="AE39" s="26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0</v>
      </c>
      <c r="AF39" s="26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0</v>
      </c>
      <c r="AG39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H39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I39" s="73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K39" s="112" t="e" vm="150">
        <f>IFERROR(INDEX(ImgDatabase!$J:$J, MATCH(Character[[#This Row],[NameHelper]], ImgDatabase!$E:$E, 0)), "")</f>
        <v>#VALUE!</v>
      </c>
      <c r="AL39" s="73">
        <f>SUM(WeeklyBoss[[#This Row],[NA]:[Burst]])</f>
        <v>0</v>
      </c>
      <c r="AM39" s="27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39" s="27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39" s="61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39" s="107" t="e" vm="152">
        <f>IFERROR(INDEX(ImgDatabase!$M:$M, MATCH(Character[[#This Row],[NameHelper]], ImgDatabase!$E:$E, 0)), "")</f>
        <v>#VALUE!</v>
      </c>
      <c r="AR39" s="61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39" s="107" t="e" vm="135">
        <f>IFERROR(INDEX(ImgDatabase!$N:$N, MATCH(Character[[#This Row],[NameHelper]], ImgDatabase!$E:$E, 0)), "")</f>
        <v>#VALUE!</v>
      </c>
      <c r="AU39" s="2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39" s="2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39" s="2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39" s="2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39" s="27" t="e" vm="54">
        <f>IFERROR(INDEX(ImgDatabase!$L:$L, MATCH(Character[[#This Row],[NameHelper]], ImgDatabase!$E:$E, 0)), "")</f>
        <v>#VALUE!</v>
      </c>
      <c r="BA39" s="8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39" s="2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39" s="61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39" s="82">
        <f t="shared" si="12"/>
        <v>0</v>
      </c>
      <c r="BE39" s="26">
        <f t="shared" si="13"/>
        <v>0</v>
      </c>
      <c r="BF39" s="73">
        <f t="shared" si="14"/>
        <v>0</v>
      </c>
      <c r="BG39" s="82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39" s="26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39" s="26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39" s="26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39" s="26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39" s="26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39" s="26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39" s="26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39" s="73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39" s="89">
        <f t="shared" si="15"/>
        <v>0</v>
      </c>
      <c r="BQ39" s="32">
        <f t="shared" si="16"/>
        <v>0</v>
      </c>
      <c r="BR39" s="90">
        <f t="shared" si="17"/>
        <v>0</v>
      </c>
      <c r="BT39" s="102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39" s="33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39" s="33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39" s="33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39" s="103">
        <f>SUM(Table40[[#This Row],[Ascension
Cost]:[Talent Cost
(Burst)]])</f>
        <v>0</v>
      </c>
    </row>
    <row r="40" spans="1:76" ht="30" customHeight="1" x14ac:dyDescent="0.25">
      <c r="A40" s="52">
        <f>SUBTOTAL(3,$D$3:Character[[#This Row],[NameHelper]])</f>
        <v>38</v>
      </c>
      <c r="B40" s="31" t="e" vm="844">
        <f>IFERROR(INDEX(ImgDatabase!$D:$D, MATCH(Character[[#This Row],[NameHelper]], ImgDatabase!$E:$E, 0)), "")</f>
        <v>#VALUE!</v>
      </c>
      <c r="C40" s="30" t="s">
        <v>222</v>
      </c>
      <c r="D40" s="30" t="s">
        <v>222</v>
      </c>
      <c r="E40" s="29" t="e" vm="91">
        <f>IFERROR(INDEX(ImgDatabase!$G:$G, MATCH(Character[[#This Row],[NameHelper]], ImgDatabase!$E:$E, 0)), "")</f>
        <v>#VALUE!</v>
      </c>
      <c r="F40" s="29" t="e" vm="5">
        <f>IFERROR(INDEX(CharacterDetailsImg[Weapon Type], MATCH(Character[[#This Row],[NameHelper]], CharacterDetailsImg[Name], 0)), "")</f>
        <v>#VALUE!</v>
      </c>
      <c r="G40" s="53">
        <f>IFERROR(INDEX(CharacterDetailsImg[Released Version], MATCH(Character[[#This Row],[NameHelper]], CharacterDetailsImg[Name], 0)), "")</f>
        <v>1</v>
      </c>
      <c r="H40" s="108">
        <v>70</v>
      </c>
      <c r="I40" s="29">
        <v>5</v>
      </c>
      <c r="J40" s="29">
        <v>5</v>
      </c>
      <c r="K40" s="40">
        <v>6</v>
      </c>
      <c r="M40" s="108">
        <v>81</v>
      </c>
      <c r="N40" s="29">
        <v>1</v>
      </c>
      <c r="O40" s="29">
        <v>9</v>
      </c>
      <c r="P40" s="40">
        <v>9</v>
      </c>
      <c r="R40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90</v>
      </c>
      <c r="T40" s="108" t="e" vm="209">
        <f>IFERROR(INDEX(ImgDatabase!$I:$I, MATCH(Character[[#This Row],[NameHelper]], ImgDatabase!$E:$E, 0)), "")</f>
        <v>#VALUE!</v>
      </c>
      <c r="U40" s="40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32</v>
      </c>
      <c r="W40" s="64" t="e" vm="211">
        <f>IFERROR(INDEX(ImgDatabase!$K:$K, MATCH(Character[[#This Row],[NameHelper]], ImgDatabase!$E:$E, 0)), "")</f>
        <v>#VALUE!</v>
      </c>
      <c r="X40" s="28">
        <f t="shared" si="9"/>
        <v>44</v>
      </c>
      <c r="Y40" s="28">
        <f t="shared" si="10"/>
        <v>31</v>
      </c>
      <c r="Z40" s="72">
        <f t="shared" si="11"/>
        <v>22</v>
      </c>
      <c r="AA40" s="28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40" s="28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40" s="28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40" s="28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22</v>
      </c>
      <c r="AE40" s="28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9</v>
      </c>
      <c r="AF40" s="28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0</v>
      </c>
      <c r="AG40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H40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I40" s="72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K40" s="64" t="e" vm="210">
        <f>IFERROR(INDEX(ImgDatabase!$J:$J, MATCH(Character[[#This Row],[NameHelper]], ImgDatabase!$E:$E, 0)), "")</f>
        <v>#VALUE!</v>
      </c>
      <c r="AL40" s="72">
        <f>SUM(WeeklyBoss[[#This Row],[NA]:[Burst]])</f>
        <v>8</v>
      </c>
      <c r="AM40" s="2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40" s="2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40" s="40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40" s="108" t="e" vm="212">
        <f>IFERROR(INDEX(ImgDatabase!$M:$M, MATCH(Character[[#This Row],[NameHelper]], ImgDatabase!$E:$E, 0)), "")</f>
        <v>#VALUE!</v>
      </c>
      <c r="AR40" s="40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105</v>
      </c>
      <c r="AT40" s="108" t="e" vm="97">
        <f>IFERROR(INDEX(ImgDatabase!$N:$N, MATCH(Character[[#This Row],[NameHelper]], ImgDatabase!$E:$E, 0)), "")</f>
        <v>#VALUE!</v>
      </c>
      <c r="AU40" s="2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40" s="2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6</v>
      </c>
      <c r="AW40" s="2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40" s="2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40" s="29" t="e" vm="115">
        <f>IFERROR(INDEX(ImgDatabase!$L:$L, MATCH(Character[[#This Row],[NameHelper]], ImgDatabase!$E:$E, 0)), "")</f>
        <v>#VALUE!</v>
      </c>
      <c r="BA40" s="39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BB40" s="2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40" s="40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40" s="71">
        <f t="shared" si="12"/>
        <v>38</v>
      </c>
      <c r="BE40" s="28">
        <f t="shared" si="13"/>
        <v>9</v>
      </c>
      <c r="BF40" s="72">
        <f t="shared" si="14"/>
        <v>0</v>
      </c>
      <c r="BG40" s="71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40" s="2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40" s="2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40" s="2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40" s="2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9</v>
      </c>
      <c r="BL40" s="2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40" s="2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40" s="2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40" s="72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40" s="91">
        <f t="shared" si="15"/>
        <v>74</v>
      </c>
      <c r="BQ40" s="34">
        <f t="shared" si="16"/>
        <v>9</v>
      </c>
      <c r="BR40" s="92">
        <f t="shared" si="17"/>
        <v>0</v>
      </c>
      <c r="BT40" s="100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579010</v>
      </c>
      <c r="BU40" s="35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40" s="35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867500</v>
      </c>
      <c r="BW40" s="35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830000</v>
      </c>
      <c r="BX40" s="101">
        <f>SUM(Table40[[#This Row],[Ascension
Cost]:[Talent Cost
(Burst)]])</f>
        <v>2276510</v>
      </c>
    </row>
    <row r="41" spans="1:76" ht="30" customHeight="1" x14ac:dyDescent="0.25">
      <c r="A41" s="52">
        <f>SUBTOTAL(3,$D$3:Character[[#This Row],[NameHelper]])</f>
        <v>39</v>
      </c>
      <c r="B41" s="31" t="e" vm="845">
        <f>IFERROR(INDEX(ImgDatabase!$D:$D, MATCH(Character[[#This Row],[NameHelper]], ImgDatabase!$E:$E, 0)), "")</f>
        <v>#VALUE!</v>
      </c>
      <c r="C41" s="30" t="s">
        <v>232</v>
      </c>
      <c r="D41" s="30" t="s">
        <v>232</v>
      </c>
      <c r="E41" s="29" t="e" vm="28">
        <f>IFERROR(INDEX(ImgDatabase!$G:$G, MATCH(Character[[#This Row],[NameHelper]], ImgDatabase!$E:$E, 0)), "")</f>
        <v>#VALUE!</v>
      </c>
      <c r="F41" s="29" t="e" vm="5">
        <f>IFERROR(INDEX(CharacterDetailsImg[Weapon Type], MATCH(Character[[#This Row],[NameHelper]], CharacterDetailsImg[Name], 0)), "")</f>
        <v>#VALUE!</v>
      </c>
      <c r="G41" s="53">
        <f>IFERROR(INDEX(CharacterDetailsImg[Released Version], MATCH(Character[[#This Row],[NameHelper]], CharacterDetailsImg[Name], 0)), "")</f>
        <v>3.7</v>
      </c>
      <c r="H41" s="108">
        <v>21</v>
      </c>
      <c r="I41" s="29">
        <v>1</v>
      </c>
      <c r="J41" s="29">
        <v>1</v>
      </c>
      <c r="K41" s="40">
        <v>1</v>
      </c>
      <c r="M41" s="108">
        <v>81</v>
      </c>
      <c r="N41" s="29">
        <v>1</v>
      </c>
      <c r="O41" s="29">
        <v>9</v>
      </c>
      <c r="P41" s="40">
        <v>9</v>
      </c>
      <c r="R41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250</v>
      </c>
      <c r="T41" s="108" t="e" vm="224">
        <f>IFERROR(INDEX(ImgDatabase!$I:$I, MATCH(Character[[#This Row],[NameHelper]], ImgDatabase!$E:$E, 0)), "")</f>
        <v>#VALUE!</v>
      </c>
      <c r="U41" s="61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46</v>
      </c>
      <c r="W41" s="64" t="e" vm="225">
        <f>IFERROR(INDEX(ImgDatabase!$K:$K, MATCH(Character[[#This Row],[NameHelper]], ImgDatabase!$E:$E, 0)), "")</f>
        <v>#VALUE!</v>
      </c>
      <c r="X41" s="26">
        <f t="shared" si="9"/>
        <v>44</v>
      </c>
      <c r="Y41" s="26">
        <f t="shared" si="10"/>
        <v>43</v>
      </c>
      <c r="Z41" s="73">
        <f t="shared" si="11"/>
        <v>25</v>
      </c>
      <c r="AA41" s="26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41" s="26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41" s="26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41" s="26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22</v>
      </c>
      <c r="AE41" s="26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21</v>
      </c>
      <c r="AF41" s="26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3</v>
      </c>
      <c r="AG41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H41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I41" s="73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K41" s="112" t="e" vm="93">
        <f>IFERROR(INDEX(ImgDatabase!$J:$J, MATCH(Character[[#This Row],[NameHelper]], ImgDatabase!$E:$E, 0)), "")</f>
        <v>#VALUE!</v>
      </c>
      <c r="AL41" s="73">
        <f>SUM(WeeklyBoss[[#This Row],[NA]:[Burst]])</f>
        <v>8</v>
      </c>
      <c r="AM41" s="27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41" s="27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41" s="61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41" s="107" t="e" vm="226">
        <f>IFERROR(INDEX(ImgDatabase!$M:$M, MATCH(Character[[#This Row],[NameHelper]], ImgDatabase!$E:$E, 0)), "")</f>
        <v>#VALUE!</v>
      </c>
      <c r="AR41" s="61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T41" s="107" t="e" vm="34">
        <f>IFERROR(INDEX(ImgDatabase!$N:$N, MATCH(Character[[#This Row],[NameHelper]], ImgDatabase!$E:$E, 0)), "")</f>
        <v>#VALUE!</v>
      </c>
      <c r="AU41" s="2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41" s="2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W41" s="2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X41" s="2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41" s="27" t="e" vm="75">
        <f>IFERROR(INDEX(ImgDatabase!$L:$L, MATCH(Character[[#This Row],[NameHelper]], ImgDatabase!$E:$E, 0)), "")</f>
        <v>#VALUE!</v>
      </c>
      <c r="BA41" s="8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BB41" s="2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BC41" s="61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BD41" s="82">
        <f t="shared" si="12"/>
        <v>38</v>
      </c>
      <c r="BE41" s="26">
        <f t="shared" si="13"/>
        <v>44</v>
      </c>
      <c r="BF41" s="73">
        <f t="shared" si="14"/>
        <v>12</v>
      </c>
      <c r="BG41" s="82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41" s="26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41" s="26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41" s="26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41" s="26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41" s="26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41" s="26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41" s="26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41" s="73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41" s="89">
        <f t="shared" si="15"/>
        <v>74</v>
      </c>
      <c r="BQ41" s="32">
        <f t="shared" si="16"/>
        <v>74</v>
      </c>
      <c r="BR41" s="90">
        <f t="shared" si="17"/>
        <v>27</v>
      </c>
      <c r="BT41" s="102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1397530</v>
      </c>
      <c r="BU41" s="33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41" s="33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41" s="33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41" s="103">
        <f>SUM(Table40[[#This Row],[Ascension
Cost]:[Talent Cost
(Burst)]])</f>
        <v>3302530</v>
      </c>
    </row>
    <row r="42" spans="1:76" ht="30" customHeight="1" x14ac:dyDescent="0.25">
      <c r="A42" s="52">
        <f>SUBTOTAL(3,$D$3:Character[[#This Row],[NameHelper]])</f>
        <v>40</v>
      </c>
      <c r="B42" s="31" t="e" vm="846">
        <f>IFERROR(INDEX(ImgDatabase!$D:$D, MATCH(Character[[#This Row],[NameHelper]], ImgDatabase!$E:$E, 0)), "")</f>
        <v>#VALUE!</v>
      </c>
      <c r="C42" s="30" t="s">
        <v>550</v>
      </c>
      <c r="D42" s="30" t="s">
        <v>550</v>
      </c>
      <c r="E42" s="29" t="e" vm="50">
        <f>IFERROR(INDEX(ImgDatabase!$G:$G, MATCH(Character[[#This Row],[NameHelper]], ImgDatabase!$E:$E, 0)), "")</f>
        <v>#VALUE!</v>
      </c>
      <c r="F42" s="29" t="e" vm="557">
        <f>IFERROR(INDEX(CharacterDetailsImg[Weapon Type], MATCH(Character[[#This Row],[NameHelper]], CharacterDetailsImg[Name], 0)), "")</f>
        <v>#VALUE!</v>
      </c>
      <c r="G42" s="53">
        <f>IFERROR(INDEX(CharacterDetailsImg[Released Version], MATCH(Character[[#This Row],[NameHelper]], CharacterDetailsImg[Name], 0)), "")</f>
        <v>1</v>
      </c>
      <c r="H42" s="108">
        <v>0</v>
      </c>
      <c r="I42" s="29">
        <v>0</v>
      </c>
      <c r="J42" s="29">
        <v>0</v>
      </c>
      <c r="K42" s="40">
        <v>0</v>
      </c>
      <c r="M42" s="108">
        <v>81</v>
      </c>
      <c r="N42" s="29">
        <v>1</v>
      </c>
      <c r="O42" s="29">
        <v>9</v>
      </c>
      <c r="P42" s="40">
        <v>9</v>
      </c>
      <c r="R42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42" s="108" t="e" vm="51">
        <f>IFERROR(INDEX(ImgDatabase!$I:$I, MATCH(Character[[#This Row],[NameHelper]], ImgDatabase!$E:$E, 0)), "")</f>
        <v>#VALUE!</v>
      </c>
      <c r="U42" s="40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0</v>
      </c>
      <c r="W42" s="64" t="e" vm="362">
        <f>IFERROR(INDEX(ImgDatabase!$K:$K, MATCH(Character[[#This Row],[NameHelper]], ImgDatabase!$E:$E, 0)), "")</f>
        <v>#VALUE!</v>
      </c>
      <c r="X42" s="28">
        <f t="shared" si="9"/>
        <v>0</v>
      </c>
      <c r="Y42" s="28">
        <f t="shared" si="10"/>
        <v>0</v>
      </c>
      <c r="Z42" s="72">
        <f t="shared" si="11"/>
        <v>0</v>
      </c>
      <c r="AA42" s="28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42" s="28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42" s="28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42" s="28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0</v>
      </c>
      <c r="AE42" s="28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0</v>
      </c>
      <c r="AF42" s="28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0</v>
      </c>
      <c r="AG42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H42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I42" s="72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K42" s="64" t="e" vm="210">
        <f>IFERROR(INDEX(ImgDatabase!$J:$J, MATCH(Character[[#This Row],[NameHelper]], ImgDatabase!$E:$E, 0)), "")</f>
        <v>#VALUE!</v>
      </c>
      <c r="AL42" s="72">
        <f>SUM(WeeklyBoss[[#This Row],[NA]:[Burst]])</f>
        <v>0</v>
      </c>
      <c r="AM42" s="2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42" s="2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42" s="40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42" s="108" t="e" vm="561">
        <f>IFERROR(INDEX(ImgDatabase!$M:$M, MATCH(Character[[#This Row],[NameHelper]], ImgDatabase!$E:$E, 0)), "")</f>
        <v>#VALUE!</v>
      </c>
      <c r="AR42" s="40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42" s="108" t="e" vm="56">
        <f>IFERROR(INDEX(ImgDatabase!$N:$N, MATCH(Character[[#This Row],[NameHelper]], ImgDatabase!$E:$E, 0)), "")</f>
        <v>#VALUE!</v>
      </c>
      <c r="AU42" s="2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42" s="2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42" s="2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42" s="2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42" s="29" t="e" vm="10">
        <f>IFERROR(INDEX(ImgDatabase!$L:$L, MATCH(Character[[#This Row],[NameHelper]], ImgDatabase!$E:$E, 0)), "")</f>
        <v>#VALUE!</v>
      </c>
      <c r="BA42" s="39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42" s="2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42" s="40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42" s="71">
        <f t="shared" si="12"/>
        <v>0</v>
      </c>
      <c r="BE42" s="28">
        <f t="shared" si="13"/>
        <v>0</v>
      </c>
      <c r="BF42" s="72">
        <f t="shared" si="14"/>
        <v>0</v>
      </c>
      <c r="BG42" s="71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42" s="2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42" s="2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42" s="2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42" s="2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42" s="2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42" s="2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42" s="2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42" s="72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42" s="91">
        <f t="shared" si="15"/>
        <v>0</v>
      </c>
      <c r="BQ42" s="34">
        <f t="shared" si="16"/>
        <v>0</v>
      </c>
      <c r="BR42" s="92">
        <f t="shared" si="17"/>
        <v>0</v>
      </c>
      <c r="BT42" s="100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42" s="35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42" s="35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42" s="35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42" s="101">
        <f>SUM(Table40[[#This Row],[Ascension
Cost]:[Talent Cost
(Burst)]])</f>
        <v>0</v>
      </c>
    </row>
    <row r="43" spans="1:76" ht="30" customHeight="1" x14ac:dyDescent="0.25">
      <c r="A43" s="52">
        <f>SUBTOTAL(3,$D$3:Character[[#This Row],[NameHelper]])</f>
        <v>41</v>
      </c>
      <c r="B43" s="31" t="e" vm="847">
        <f>IFERROR(INDEX(ImgDatabase!$D:$D, MATCH(Character[[#This Row],[NameHelper]], ImgDatabase!$E:$E, 0)), "")</f>
        <v>#VALUE!</v>
      </c>
      <c r="C43" s="30" t="s">
        <v>749</v>
      </c>
      <c r="D43" s="30" t="s">
        <v>446</v>
      </c>
      <c r="E43" s="29" t="e" vm="91">
        <f>IFERROR(INDEX(ImgDatabase!$G:$G, MATCH(Character[[#This Row],[NameHelper]], ImgDatabase!$E:$E, 0)), "")</f>
        <v>#VALUE!</v>
      </c>
      <c r="F43" s="29" t="e" vm="359">
        <f>IFERROR(INDEX(CharacterDetailsImg[Weapon Type], MATCH(Character[[#This Row],[NameHelper]], CharacterDetailsImg[Name], 0)), "")</f>
        <v>#VALUE!</v>
      </c>
      <c r="G43" s="53">
        <f>IFERROR(INDEX(CharacterDetailsImg[Released Version], MATCH(Character[[#This Row],[NameHelper]], CharacterDetailsImg[Name], 0)), "")</f>
        <v>2.1</v>
      </c>
      <c r="H43" s="108">
        <v>21</v>
      </c>
      <c r="I43" s="29">
        <v>1</v>
      </c>
      <c r="J43" s="29">
        <v>1</v>
      </c>
      <c r="K43" s="40">
        <v>1</v>
      </c>
      <c r="M43" s="108">
        <v>81</v>
      </c>
      <c r="N43" s="29">
        <v>1</v>
      </c>
      <c r="O43" s="29">
        <v>9</v>
      </c>
      <c r="P43" s="40">
        <v>9</v>
      </c>
      <c r="R43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250</v>
      </c>
      <c r="T43" s="108" t="e" vm="431">
        <f>IFERROR(INDEX(ImgDatabase!$I:$I, MATCH(Character[[#This Row],[NameHelper]], ImgDatabase!$E:$E, 0)), "")</f>
        <v>#VALUE!</v>
      </c>
      <c r="U43" s="61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46</v>
      </c>
      <c r="W43" s="64" t="e" vm="182">
        <f>IFERROR(INDEX(ImgDatabase!$K:$K, MATCH(Character[[#This Row],[NameHelper]], ImgDatabase!$E:$E, 0)), "")</f>
        <v>#VALUE!</v>
      </c>
      <c r="X43" s="26">
        <f t="shared" si="9"/>
        <v>44</v>
      </c>
      <c r="Y43" s="26">
        <f t="shared" si="10"/>
        <v>43</v>
      </c>
      <c r="Z43" s="73">
        <f t="shared" si="11"/>
        <v>25</v>
      </c>
      <c r="AA43" s="26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43" s="26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43" s="26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43" s="26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22</v>
      </c>
      <c r="AE43" s="26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21</v>
      </c>
      <c r="AF43" s="26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3</v>
      </c>
      <c r="AG43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H43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I43" s="73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K43" s="112" t="e" vm="432">
        <f>IFERROR(INDEX(ImgDatabase!$J:$J, MATCH(Character[[#This Row],[NameHelper]], ImgDatabase!$E:$E, 0)), "")</f>
        <v>#VALUE!</v>
      </c>
      <c r="AL43" s="73">
        <f>SUM(WeeklyBoss[[#This Row],[NA]:[Burst]])</f>
        <v>8</v>
      </c>
      <c r="AM43" s="27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43" s="27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43" s="61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43" s="107" t="e" vm="433">
        <f>IFERROR(INDEX(ImgDatabase!$M:$M, MATCH(Character[[#This Row],[NameHelper]], ImgDatabase!$E:$E, 0)), "")</f>
        <v>#VALUE!</v>
      </c>
      <c r="AR43" s="61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T43" s="107" t="e" vm="97">
        <f>IFERROR(INDEX(ImgDatabase!$N:$N, MATCH(Character[[#This Row],[NameHelper]], ImgDatabase!$E:$E, 0)), "")</f>
        <v>#VALUE!</v>
      </c>
      <c r="AU43" s="2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43" s="2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W43" s="2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X43" s="2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43" s="27" t="e" vm="133">
        <f>IFERROR(INDEX(ImgDatabase!$L:$L, MATCH(Character[[#This Row],[NameHelper]], ImgDatabase!$E:$E, 0)), "")</f>
        <v>#VALUE!</v>
      </c>
      <c r="BA43" s="8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BB43" s="2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BC43" s="61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BD43" s="82">
        <f t="shared" si="12"/>
        <v>38</v>
      </c>
      <c r="BE43" s="26">
        <f t="shared" si="13"/>
        <v>44</v>
      </c>
      <c r="BF43" s="73">
        <f t="shared" si="14"/>
        <v>12</v>
      </c>
      <c r="BG43" s="82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43" s="26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43" s="26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43" s="26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43" s="26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43" s="26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43" s="26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43" s="26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43" s="73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43" s="89">
        <f t="shared" si="15"/>
        <v>74</v>
      </c>
      <c r="BQ43" s="32">
        <f t="shared" si="16"/>
        <v>74</v>
      </c>
      <c r="BR43" s="90">
        <f t="shared" si="17"/>
        <v>27</v>
      </c>
      <c r="BT43" s="102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1397530</v>
      </c>
      <c r="BU43" s="33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43" s="33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43" s="33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43" s="103">
        <f>SUM(Table40[[#This Row],[Ascension
Cost]:[Talent Cost
(Burst)]])</f>
        <v>3302530</v>
      </c>
    </row>
    <row r="44" spans="1:76" ht="30" customHeight="1" x14ac:dyDescent="0.25">
      <c r="A44" s="52">
        <f>SUBTOTAL(3,$D$3:Character[[#This Row],[NameHelper]])</f>
        <v>42</v>
      </c>
      <c r="B44" s="31" t="e" vm="848">
        <f>IFERROR(INDEX(ImgDatabase!$D:$D, MATCH(Character[[#This Row],[NameHelper]], ImgDatabase!$E:$E, 0)), "")</f>
        <v>#VALUE!</v>
      </c>
      <c r="C44" s="30" t="s">
        <v>750</v>
      </c>
      <c r="D44" s="30" t="s">
        <v>243</v>
      </c>
      <c r="E44" s="29" t="e" vm="91">
        <f>IFERROR(INDEX(ImgDatabase!$G:$G, MATCH(Character[[#This Row],[NameHelper]], ImgDatabase!$E:$E, 0)), "")</f>
        <v>#VALUE!</v>
      </c>
      <c r="F44" s="29" t="e" vm="5">
        <f>IFERROR(INDEX(CharacterDetailsImg[Weapon Type], MATCH(Character[[#This Row],[NameHelper]], CharacterDetailsImg[Name], 0)), "")</f>
        <v>#VALUE!</v>
      </c>
      <c r="G44" s="53">
        <f>IFERROR(INDEX(CharacterDetailsImg[Released Version], MATCH(Character[[#This Row],[NameHelper]], CharacterDetailsImg[Name], 0)), "")</f>
        <v>2.7</v>
      </c>
      <c r="H44" s="108">
        <v>90</v>
      </c>
      <c r="I44" s="29">
        <v>1</v>
      </c>
      <c r="J44" s="29">
        <v>9</v>
      </c>
      <c r="K44" s="40">
        <v>6</v>
      </c>
      <c r="M44" s="108">
        <v>81</v>
      </c>
      <c r="N44" s="29">
        <v>1</v>
      </c>
      <c r="O44" s="29">
        <v>9</v>
      </c>
      <c r="P44" s="40">
        <v>9</v>
      </c>
      <c r="R44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44" s="108" t="e" vm="238">
        <f>IFERROR(INDEX(ImgDatabase!$I:$I, MATCH(Character[[#This Row],[NameHelper]], ImgDatabase!$E:$E, 0)), "")</f>
        <v>#VALUE!</v>
      </c>
      <c r="U44" s="40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0</v>
      </c>
      <c r="W44" s="64" t="e" vm="182">
        <f>IFERROR(INDEX(ImgDatabase!$K:$K, MATCH(Character[[#This Row],[NameHelper]], ImgDatabase!$E:$E, 0)), "")</f>
        <v>#VALUE!</v>
      </c>
      <c r="X44" s="28">
        <f t="shared" si="9"/>
        <v>22</v>
      </c>
      <c r="Y44" s="28">
        <f t="shared" si="10"/>
        <v>22</v>
      </c>
      <c r="Z44" s="72">
        <f t="shared" si="11"/>
        <v>22</v>
      </c>
      <c r="AA44" s="28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44" s="28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44" s="28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44" s="28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0</v>
      </c>
      <c r="AE44" s="28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0</v>
      </c>
      <c r="AF44" s="28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0</v>
      </c>
      <c r="AG44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H44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I44" s="72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K44" s="64" t="e" vm="239">
        <f>IFERROR(INDEX(ImgDatabase!$J:$J, MATCH(Character[[#This Row],[NameHelper]], ImgDatabase!$E:$E, 0)), "")</f>
        <v>#VALUE!</v>
      </c>
      <c r="AL44" s="72">
        <f>SUM(WeeklyBoss[[#This Row],[NA]:[Burst]])</f>
        <v>4</v>
      </c>
      <c r="AM44" s="2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44" s="2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44" s="40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44" s="108" t="e" vm="240">
        <f>IFERROR(INDEX(ImgDatabase!$M:$M, MATCH(Character[[#This Row],[NameHelper]], ImgDatabase!$E:$E, 0)), "")</f>
        <v>#VALUE!</v>
      </c>
      <c r="AR44" s="40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44" s="108" t="e" vm="97">
        <f>IFERROR(INDEX(ImgDatabase!$N:$N, MATCH(Character[[#This Row],[NameHelper]], ImgDatabase!$E:$E, 0)), "")</f>
        <v>#VALUE!</v>
      </c>
      <c r="AU44" s="2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44" s="2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44" s="2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44" s="2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44" s="29" t="e" vm="75">
        <f>IFERROR(INDEX(ImgDatabase!$L:$L, MATCH(Character[[#This Row],[NameHelper]], ImgDatabase!$E:$E, 0)), "")</f>
        <v>#VALUE!</v>
      </c>
      <c r="BA44" s="39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44" s="2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44" s="40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44" s="71">
        <f t="shared" si="12"/>
        <v>19</v>
      </c>
      <c r="BE44" s="28">
        <f t="shared" si="13"/>
        <v>0</v>
      </c>
      <c r="BF44" s="72">
        <f t="shared" si="14"/>
        <v>0</v>
      </c>
      <c r="BG44" s="71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44" s="2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44" s="2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44" s="2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44" s="2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44" s="2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44" s="2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44" s="2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44" s="72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44" s="91">
        <f t="shared" si="15"/>
        <v>19</v>
      </c>
      <c r="BQ44" s="34">
        <f t="shared" si="16"/>
        <v>0</v>
      </c>
      <c r="BR44" s="92">
        <f t="shared" si="17"/>
        <v>0</v>
      </c>
      <c r="BT44" s="100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44" s="35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44" s="35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44" s="35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830000</v>
      </c>
      <c r="BX44" s="101">
        <f>SUM(Table40[[#This Row],[Ascension
Cost]:[Talent Cost
(Burst)]])</f>
        <v>830000</v>
      </c>
    </row>
    <row r="45" spans="1:76" ht="30" customHeight="1" x14ac:dyDescent="0.25">
      <c r="A45" s="52">
        <f>SUBTOTAL(3,$D$3:Character[[#This Row],[NameHelper]])</f>
        <v>43</v>
      </c>
      <c r="B45" s="31" t="e" vm="849">
        <f>IFERROR(INDEX(ImgDatabase!$D:$D, MATCH(Character[[#This Row],[NameHelper]], ImgDatabase!$E:$E, 0)), "")</f>
        <v>#VALUE!</v>
      </c>
      <c r="C45" s="30" t="s">
        <v>253</v>
      </c>
      <c r="D45" s="30" t="s">
        <v>253</v>
      </c>
      <c r="E45" s="29" t="e" vm="164">
        <f>IFERROR(INDEX(ImgDatabase!$G:$G, MATCH(Character[[#This Row],[NameHelper]], ImgDatabase!$E:$E, 0)), "")</f>
        <v>#VALUE!</v>
      </c>
      <c r="F45" s="29" t="e" vm="5">
        <f>IFERROR(INDEX(CharacterDetailsImg[Weapon Type], MATCH(Character[[#This Row],[NameHelper]], CharacterDetailsImg[Name], 0)), "")</f>
        <v>#VALUE!</v>
      </c>
      <c r="G45" s="53">
        <f>IFERROR(INDEX(CharacterDetailsImg[Released Version], MATCH(Character[[#This Row],[NameHelper]], CharacterDetailsImg[Name], 0)), "")</f>
        <v>3.2</v>
      </c>
      <c r="H45" s="108">
        <v>90</v>
      </c>
      <c r="I45" s="29">
        <v>1</v>
      </c>
      <c r="J45" s="29">
        <v>9</v>
      </c>
      <c r="K45" s="40">
        <v>7</v>
      </c>
      <c r="M45" s="108">
        <v>81</v>
      </c>
      <c r="N45" s="29">
        <v>1</v>
      </c>
      <c r="O45" s="29">
        <v>9</v>
      </c>
      <c r="P45" s="40">
        <v>9</v>
      </c>
      <c r="R45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45" s="108" t="e" vm="249">
        <f>IFERROR(INDEX(ImgDatabase!$I:$I, MATCH(Character[[#This Row],[NameHelper]], ImgDatabase!$E:$E, 0)), "")</f>
        <v>#VALUE!</v>
      </c>
      <c r="U45" s="61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0</v>
      </c>
      <c r="W45" s="64" t="e" vm="31">
        <f>IFERROR(INDEX(ImgDatabase!$K:$K, MATCH(Character[[#This Row],[NameHelper]], ImgDatabase!$E:$E, 0)), "")</f>
        <v>#VALUE!</v>
      </c>
      <c r="X45" s="26">
        <f t="shared" si="9"/>
        <v>18</v>
      </c>
      <c r="Y45" s="26">
        <f t="shared" si="10"/>
        <v>18</v>
      </c>
      <c r="Z45" s="73">
        <f t="shared" si="11"/>
        <v>18</v>
      </c>
      <c r="AA45" s="26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45" s="26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45" s="26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45" s="26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0</v>
      </c>
      <c r="AE45" s="26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0</v>
      </c>
      <c r="AF45" s="26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0</v>
      </c>
      <c r="AG45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18</v>
      </c>
      <c r="AH45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18</v>
      </c>
      <c r="AI45" s="73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18</v>
      </c>
      <c r="AK45" s="112" t="e" vm="30">
        <f>IFERROR(INDEX(ImgDatabase!$J:$J, MATCH(Character[[#This Row],[NameHelper]], ImgDatabase!$E:$E, 0)), "")</f>
        <v>#VALUE!</v>
      </c>
      <c r="AL45" s="73">
        <f>SUM(WeeklyBoss[[#This Row],[NA]:[Burst]])</f>
        <v>3</v>
      </c>
      <c r="AM45" s="27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45" s="27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45" s="61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3</v>
      </c>
      <c r="AQ45" s="107" t="e" vm="250">
        <f>IFERROR(INDEX(ImgDatabase!$M:$M, MATCH(Character[[#This Row],[NameHelper]], ImgDatabase!$E:$E, 0)), "")</f>
        <v>#VALUE!</v>
      </c>
      <c r="AR45" s="61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45" s="107" t="e" vm="168">
        <f>IFERROR(INDEX(ImgDatabase!$N:$N, MATCH(Character[[#This Row],[NameHelper]], ImgDatabase!$E:$E, 0)), "")</f>
        <v>#VALUE!</v>
      </c>
      <c r="AU45" s="2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45" s="2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45" s="2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45" s="2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45" s="27" t="e" vm="10">
        <f>IFERROR(INDEX(ImgDatabase!$L:$L, MATCH(Character[[#This Row],[NameHelper]], ImgDatabase!$E:$E, 0)), "")</f>
        <v>#VALUE!</v>
      </c>
      <c r="BA45" s="8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45" s="2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45" s="61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45" s="82">
        <f t="shared" si="12"/>
        <v>15</v>
      </c>
      <c r="BE45" s="26">
        <f t="shared" si="13"/>
        <v>0</v>
      </c>
      <c r="BF45" s="73">
        <f t="shared" si="14"/>
        <v>0</v>
      </c>
      <c r="BG45" s="82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45" s="26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45" s="26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45" s="26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45" s="26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45" s="26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45" s="26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15</v>
      </c>
      <c r="BN45" s="26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45" s="73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45" s="89">
        <f t="shared" si="15"/>
        <v>15</v>
      </c>
      <c r="BQ45" s="32">
        <f t="shared" si="16"/>
        <v>0</v>
      </c>
      <c r="BR45" s="90">
        <f t="shared" si="17"/>
        <v>0</v>
      </c>
      <c r="BT45" s="102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45" s="33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45" s="33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45" s="33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710000</v>
      </c>
      <c r="BX45" s="103">
        <f>SUM(Table40[[#This Row],[Ascension
Cost]:[Talent Cost
(Burst)]])</f>
        <v>710000</v>
      </c>
    </row>
    <row r="46" spans="1:76" ht="30" customHeight="1" x14ac:dyDescent="0.25">
      <c r="A46" s="52">
        <f>SUBTOTAL(3,$D$3:Character[[#This Row],[NameHelper]])</f>
        <v>44</v>
      </c>
      <c r="B46" s="31" t="e" vm="850">
        <f>IFERROR(INDEX(ImgDatabase!$D:$D, MATCH(Character[[#This Row],[NameHelper]], ImgDatabase!$E:$E, 0)), "")</f>
        <v>#VALUE!</v>
      </c>
      <c r="C46" s="30" t="s">
        <v>552</v>
      </c>
      <c r="D46" s="30" t="s">
        <v>552</v>
      </c>
      <c r="E46" s="29" t="e" vm="91">
        <f>IFERROR(INDEX(ImgDatabase!$G:$G, MATCH(Character[[#This Row],[NameHelper]], ImgDatabase!$E:$E, 0)), "")</f>
        <v>#VALUE!</v>
      </c>
      <c r="F46" s="29" t="e" vm="557">
        <f>IFERROR(INDEX(CharacterDetailsImg[Weapon Type], MATCH(Character[[#This Row],[NameHelper]], CharacterDetailsImg[Name], 0)), "")</f>
        <v>#VALUE!</v>
      </c>
      <c r="G46" s="53">
        <f>IFERROR(INDEX(CharacterDetailsImg[Released Version], MATCH(Character[[#This Row],[NameHelper]], CharacterDetailsImg[Name], 0)), "")</f>
        <v>1</v>
      </c>
      <c r="H46" s="108">
        <v>61</v>
      </c>
      <c r="I46" s="29">
        <v>1</v>
      </c>
      <c r="J46" s="29">
        <v>1</v>
      </c>
      <c r="K46" s="40">
        <v>1</v>
      </c>
      <c r="M46" s="108">
        <v>81</v>
      </c>
      <c r="N46" s="29">
        <v>1</v>
      </c>
      <c r="O46" s="29">
        <v>9</v>
      </c>
      <c r="P46" s="40">
        <v>9</v>
      </c>
      <c r="R46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145</v>
      </c>
      <c r="T46" s="108" t="e" vm="209">
        <f>IFERROR(INDEX(ImgDatabase!$I:$I, MATCH(Character[[#This Row],[NameHelper]], ImgDatabase!$E:$E, 0)), "")</f>
        <v>#VALUE!</v>
      </c>
      <c r="U46" s="40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32</v>
      </c>
      <c r="W46" s="64" t="e" vm="9">
        <f>IFERROR(INDEX(ImgDatabase!$K:$K, MATCH(Character[[#This Row],[NameHelper]], ImgDatabase!$E:$E, 0)), "")</f>
        <v>#VALUE!</v>
      </c>
      <c r="X46" s="28">
        <f t="shared" si="9"/>
        <v>44</v>
      </c>
      <c r="Y46" s="28">
        <f t="shared" si="10"/>
        <v>43</v>
      </c>
      <c r="Z46" s="72">
        <f t="shared" si="11"/>
        <v>25</v>
      </c>
      <c r="AA46" s="28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46" s="28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46" s="28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46" s="28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22</v>
      </c>
      <c r="AE46" s="28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21</v>
      </c>
      <c r="AF46" s="28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3</v>
      </c>
      <c r="AG46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H46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I46" s="72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K46" s="64" t="e" vm="536">
        <f>IFERROR(INDEX(ImgDatabase!$J:$J, MATCH(Character[[#This Row],[NameHelper]], ImgDatabase!$E:$E, 0)), "")</f>
        <v>#VALUE!</v>
      </c>
      <c r="AL46" s="72">
        <f>SUM(WeeklyBoss[[#This Row],[NA]:[Burst]])</f>
        <v>8</v>
      </c>
      <c r="AM46" s="2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46" s="2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46" s="40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46" s="108" t="e" vm="537">
        <f>IFERROR(INDEX(ImgDatabase!$M:$M, MATCH(Character[[#This Row],[NameHelper]], ImgDatabase!$E:$E, 0)), "")</f>
        <v>#VALUE!</v>
      </c>
      <c r="AR46" s="40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105</v>
      </c>
      <c r="AT46" s="108" t="e" vm="97">
        <f>IFERROR(INDEX(ImgDatabase!$N:$N, MATCH(Character[[#This Row],[NameHelper]], ImgDatabase!$E:$E, 0)), "")</f>
        <v>#VALUE!</v>
      </c>
      <c r="AU46" s="2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46" s="2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6</v>
      </c>
      <c r="AW46" s="2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46" s="2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46" s="29" t="e" vm="469">
        <f>IFERROR(INDEX(ImgDatabase!$L:$L, MATCH(Character[[#This Row],[NameHelper]], ImgDatabase!$E:$E, 0)), "")</f>
        <v>#VALUE!</v>
      </c>
      <c r="BA46" s="39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BB46" s="2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46" s="40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46" s="71">
        <f t="shared" si="12"/>
        <v>38</v>
      </c>
      <c r="BE46" s="28">
        <f t="shared" si="13"/>
        <v>44</v>
      </c>
      <c r="BF46" s="72">
        <f t="shared" si="14"/>
        <v>12</v>
      </c>
      <c r="BG46" s="71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46" s="2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46" s="2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46" s="2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46" s="2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46" s="2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46" s="2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46" s="2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46" s="72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46" s="91">
        <f t="shared" si="15"/>
        <v>74</v>
      </c>
      <c r="BQ46" s="34">
        <f t="shared" si="16"/>
        <v>44</v>
      </c>
      <c r="BR46" s="92">
        <f t="shared" si="17"/>
        <v>12</v>
      </c>
      <c r="BT46" s="100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798020</v>
      </c>
      <c r="BU46" s="35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46" s="35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46" s="35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46" s="101">
        <f>SUM(Table40[[#This Row],[Ascension
Cost]:[Talent Cost
(Burst)]])</f>
        <v>2703020</v>
      </c>
    </row>
    <row r="47" spans="1:76" ht="30" customHeight="1" x14ac:dyDescent="0.25">
      <c r="A47" s="52">
        <f>SUBTOTAL(3,$D$3:Character[[#This Row],[NameHelper]])</f>
        <v>45</v>
      </c>
      <c r="B47" s="31" t="e" vm="851">
        <f>IFERROR(INDEX(ImgDatabase!$D:$D, MATCH(Character[[#This Row],[NameHelper]], ImgDatabase!$E:$E, 0)), "")</f>
        <v>#VALUE!</v>
      </c>
      <c r="C47" s="30" t="s">
        <v>263</v>
      </c>
      <c r="D47" s="30" t="s">
        <v>263</v>
      </c>
      <c r="E47" s="29" t="e" vm="131">
        <f>IFERROR(INDEX(ImgDatabase!$G:$G, MATCH(Character[[#This Row],[NameHelper]], ImgDatabase!$E:$E, 0)), "")</f>
        <v>#VALUE!</v>
      </c>
      <c r="F47" s="29" t="e" vm="5">
        <f>IFERROR(INDEX(CharacterDetailsImg[Weapon Type], MATCH(Character[[#This Row],[NameHelper]], CharacterDetailsImg[Name], 0)), "")</f>
        <v>#VALUE!</v>
      </c>
      <c r="G47" s="53">
        <f>IFERROR(INDEX(CharacterDetailsImg[Released Version], MATCH(Character[[#This Row],[NameHelper]], CharacterDetailsImg[Name], 0)), "")</f>
        <v>4</v>
      </c>
      <c r="H47" s="108">
        <v>21</v>
      </c>
      <c r="I47" s="29">
        <v>1</v>
      </c>
      <c r="J47" s="29">
        <v>1</v>
      </c>
      <c r="K47" s="40">
        <v>1</v>
      </c>
      <c r="M47" s="108">
        <v>81</v>
      </c>
      <c r="N47" s="29">
        <v>1</v>
      </c>
      <c r="O47" s="29">
        <v>9</v>
      </c>
      <c r="P47" s="40">
        <v>9</v>
      </c>
      <c r="R47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250</v>
      </c>
      <c r="T47" s="108" t="e" vm="72">
        <f>IFERROR(INDEX(ImgDatabase!$I:$I, MATCH(Character[[#This Row],[NameHelper]], ImgDatabase!$E:$E, 0)), "")</f>
        <v>#VALUE!</v>
      </c>
      <c r="U47" s="61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46</v>
      </c>
      <c r="W47" s="64" t="e" vm="259">
        <f>IFERROR(INDEX(ImgDatabase!$K:$K, MATCH(Character[[#This Row],[NameHelper]], ImgDatabase!$E:$E, 0)), "")</f>
        <v>#VALUE!</v>
      </c>
      <c r="X47" s="26">
        <f t="shared" si="9"/>
        <v>44</v>
      </c>
      <c r="Y47" s="26">
        <f t="shared" si="10"/>
        <v>43</v>
      </c>
      <c r="Z47" s="73">
        <f t="shared" si="11"/>
        <v>25</v>
      </c>
      <c r="AA47" s="26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47" s="26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47" s="26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47" s="26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22</v>
      </c>
      <c r="AE47" s="26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21</v>
      </c>
      <c r="AF47" s="26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3</v>
      </c>
      <c r="AG47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H47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I47" s="73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K47" s="112" t="e" vm="93">
        <f>IFERROR(INDEX(ImgDatabase!$J:$J, MATCH(Character[[#This Row],[NameHelper]], ImgDatabase!$E:$E, 0)), "")</f>
        <v>#VALUE!</v>
      </c>
      <c r="AL47" s="73">
        <f>SUM(WeeklyBoss[[#This Row],[NA]:[Burst]])</f>
        <v>8</v>
      </c>
      <c r="AM47" s="27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47" s="27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47" s="61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47" s="107" t="e" vm="261">
        <f>IFERROR(INDEX(ImgDatabase!$M:$M, MATCH(Character[[#This Row],[NameHelper]], ImgDatabase!$E:$E, 0)), "")</f>
        <v>#VALUE!</v>
      </c>
      <c r="AR47" s="61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T47" s="107" t="e" vm="135">
        <f>IFERROR(INDEX(ImgDatabase!$N:$N, MATCH(Character[[#This Row],[NameHelper]], ImgDatabase!$E:$E, 0)), "")</f>
        <v>#VALUE!</v>
      </c>
      <c r="AU47" s="2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47" s="2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W47" s="2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X47" s="2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47" s="27" t="e" vm="260">
        <f>IFERROR(INDEX(ImgDatabase!$L:$L, MATCH(Character[[#This Row],[NameHelper]], ImgDatabase!$E:$E, 0)), "")</f>
        <v>#VALUE!</v>
      </c>
      <c r="BA47" s="8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BB47" s="2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BC47" s="61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BD47" s="82">
        <f t="shared" si="12"/>
        <v>38</v>
      </c>
      <c r="BE47" s="26">
        <f t="shared" si="13"/>
        <v>44</v>
      </c>
      <c r="BF47" s="73">
        <f t="shared" si="14"/>
        <v>12</v>
      </c>
      <c r="BG47" s="82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47" s="26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47" s="26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47" s="26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47" s="26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47" s="26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47" s="26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47" s="26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47" s="73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47" s="89">
        <f t="shared" si="15"/>
        <v>74</v>
      </c>
      <c r="BQ47" s="32">
        <f t="shared" si="16"/>
        <v>74</v>
      </c>
      <c r="BR47" s="90">
        <f t="shared" si="17"/>
        <v>27</v>
      </c>
      <c r="BT47" s="102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1397530</v>
      </c>
      <c r="BU47" s="33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47" s="33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47" s="33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47" s="103">
        <f>SUM(Table40[[#This Row],[Ascension
Cost]:[Talent Cost
(Burst)]])</f>
        <v>3302530</v>
      </c>
    </row>
    <row r="48" spans="1:76" ht="30" customHeight="1" x14ac:dyDescent="0.25">
      <c r="A48" s="52">
        <f>SUBTOTAL(3,$D$3:Character[[#This Row],[NameHelper]])</f>
        <v>46</v>
      </c>
      <c r="B48" s="31" t="e" vm="852">
        <f>IFERROR(INDEX(ImgDatabase!$D:$D, MATCH(Character[[#This Row],[NameHelper]], ImgDatabase!$E:$E, 0)), "")</f>
        <v>#VALUE!</v>
      </c>
      <c r="C48" s="30" t="s">
        <v>452</v>
      </c>
      <c r="D48" s="30" t="s">
        <v>452</v>
      </c>
      <c r="E48" s="29" t="e" vm="50">
        <f>IFERROR(INDEX(ImgDatabase!$G:$G, MATCH(Character[[#This Row],[NameHelper]], ImgDatabase!$E:$E, 0)), "")</f>
        <v>#VALUE!</v>
      </c>
      <c r="F48" s="29" t="e" vm="359">
        <f>IFERROR(INDEX(CharacterDetailsImg[Weapon Type], MATCH(Character[[#This Row],[NameHelper]], CharacterDetailsImg[Name], 0)), "")</f>
        <v>#VALUE!</v>
      </c>
      <c r="G48" s="53">
        <f>IFERROR(INDEX(CharacterDetailsImg[Released Version], MATCH(Character[[#This Row],[NameHelper]], CharacterDetailsImg[Name], 0)), "")</f>
        <v>4</v>
      </c>
      <c r="H48" s="108">
        <v>0</v>
      </c>
      <c r="I48" s="29">
        <v>0</v>
      </c>
      <c r="J48" s="29">
        <v>0</v>
      </c>
      <c r="K48" s="40">
        <v>0</v>
      </c>
      <c r="M48" s="108">
        <v>81</v>
      </c>
      <c r="N48" s="29">
        <v>1</v>
      </c>
      <c r="O48" s="29">
        <v>9</v>
      </c>
      <c r="P48" s="40">
        <v>9</v>
      </c>
      <c r="R48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48" s="108" t="e" vm="439">
        <f>IFERROR(INDEX(ImgDatabase!$I:$I, MATCH(Character[[#This Row],[NameHelper]], ImgDatabase!$E:$E, 0)), "")</f>
        <v>#VALUE!</v>
      </c>
      <c r="U48" s="40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0</v>
      </c>
      <c r="W48" s="64" t="e" vm="441">
        <f>IFERROR(INDEX(ImgDatabase!$K:$K, MATCH(Character[[#This Row],[NameHelper]], ImgDatabase!$E:$E, 0)), "")</f>
        <v>#VALUE!</v>
      </c>
      <c r="X48" s="28">
        <f t="shared" si="9"/>
        <v>0</v>
      </c>
      <c r="Y48" s="28">
        <f t="shared" si="10"/>
        <v>0</v>
      </c>
      <c r="Z48" s="72">
        <f t="shared" si="11"/>
        <v>0</v>
      </c>
      <c r="AA48" s="28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48" s="28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48" s="28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48" s="28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0</v>
      </c>
      <c r="AE48" s="28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0</v>
      </c>
      <c r="AF48" s="28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0</v>
      </c>
      <c r="AG48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H48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I48" s="72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K48" s="64" t="e" vm="440">
        <f>IFERROR(INDEX(ImgDatabase!$J:$J, MATCH(Character[[#This Row],[NameHelper]], ImgDatabase!$E:$E, 0)), "")</f>
        <v>#VALUE!</v>
      </c>
      <c r="AL48" s="72">
        <f>SUM(WeeklyBoss[[#This Row],[NA]:[Burst]])</f>
        <v>0</v>
      </c>
      <c r="AM48" s="2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48" s="2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48" s="40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48" s="108" t="e" vm="443">
        <f>IFERROR(INDEX(ImgDatabase!$M:$M, MATCH(Character[[#This Row],[NameHelper]], ImgDatabase!$E:$E, 0)), "")</f>
        <v>#VALUE!</v>
      </c>
      <c r="AR48" s="40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48" s="108" t="e" vm="56">
        <f>IFERROR(INDEX(ImgDatabase!$N:$N, MATCH(Character[[#This Row],[NameHelper]], ImgDatabase!$E:$E, 0)), "")</f>
        <v>#VALUE!</v>
      </c>
      <c r="AU48" s="2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48" s="2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48" s="2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48" s="2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48" s="29" t="e" vm="442">
        <f>IFERROR(INDEX(ImgDatabase!$L:$L, MATCH(Character[[#This Row],[NameHelper]], ImgDatabase!$E:$E, 0)), "")</f>
        <v>#VALUE!</v>
      </c>
      <c r="BA48" s="39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48" s="2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48" s="40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48" s="71">
        <f t="shared" si="12"/>
        <v>0</v>
      </c>
      <c r="BE48" s="28">
        <f t="shared" si="13"/>
        <v>0</v>
      </c>
      <c r="BF48" s="72">
        <f t="shared" si="14"/>
        <v>0</v>
      </c>
      <c r="BG48" s="71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48" s="2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48" s="2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48" s="2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48" s="2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48" s="2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48" s="2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48" s="2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48" s="72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48" s="91">
        <f t="shared" si="15"/>
        <v>0</v>
      </c>
      <c r="BQ48" s="34">
        <f t="shared" si="16"/>
        <v>0</v>
      </c>
      <c r="BR48" s="92">
        <f t="shared" si="17"/>
        <v>0</v>
      </c>
      <c r="BT48" s="100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48" s="35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48" s="35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48" s="35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48" s="101">
        <f>SUM(Table40[[#This Row],[Ascension
Cost]:[Talent Cost
(Burst)]])</f>
        <v>0</v>
      </c>
    </row>
    <row r="49" spans="1:76" ht="30" customHeight="1" x14ac:dyDescent="0.25">
      <c r="A49" s="52">
        <f>SUBTOTAL(3,$D$3:Character[[#This Row],[NameHelper]])</f>
        <v>47</v>
      </c>
      <c r="B49" s="31" t="e" vm="853">
        <f>IFERROR(INDEX(ImgDatabase!$D:$D, MATCH(Character[[#This Row],[NameHelper]], ImgDatabase!$E:$E, 0)), "")</f>
        <v>#VALUE!</v>
      </c>
      <c r="C49" s="30" t="s">
        <v>586</v>
      </c>
      <c r="D49" s="30" t="s">
        <v>586</v>
      </c>
      <c r="E49" s="29" t="e" vm="164">
        <f>IFERROR(INDEX(ImgDatabase!$G:$G, MATCH(Character[[#This Row],[NameHelper]], ImgDatabase!$E:$E, 0)), "")</f>
        <v>#VALUE!</v>
      </c>
      <c r="F49" s="29" t="e" vm="551">
        <f>IFERROR(INDEX(CharacterDetailsImg[Weapon Type], MATCH(Character[[#This Row],[NameHelper]], CharacterDetailsImg[Name], 0)), "")</f>
        <v>#VALUE!</v>
      </c>
      <c r="G49" s="53">
        <f>IFERROR(INDEX(CharacterDetailsImg[Released Version], MATCH(Character[[#This Row],[NameHelper]], CharacterDetailsImg[Name], 0)), "")</f>
        <v>3.5</v>
      </c>
      <c r="H49" s="108">
        <v>60</v>
      </c>
      <c r="I49" s="29">
        <v>1</v>
      </c>
      <c r="J49" s="29">
        <v>1</v>
      </c>
      <c r="K49" s="40">
        <v>1</v>
      </c>
      <c r="M49" s="108">
        <v>81</v>
      </c>
      <c r="N49" s="29">
        <v>1</v>
      </c>
      <c r="O49" s="29">
        <v>9</v>
      </c>
      <c r="P49" s="40">
        <v>9</v>
      </c>
      <c r="R49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150</v>
      </c>
      <c r="T49" s="108" t="e" vm="29">
        <f>IFERROR(INDEX(ImgDatabase!$I:$I, MATCH(Character[[#This Row],[NameHelper]], ImgDatabase!$E:$E, 0)), "")</f>
        <v>#VALUE!</v>
      </c>
      <c r="U49" s="61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40</v>
      </c>
      <c r="W49" s="64" t="e" vm="9">
        <f>IFERROR(INDEX(ImgDatabase!$K:$K, MATCH(Character[[#This Row],[NameHelper]], ImgDatabase!$E:$E, 0)), "")</f>
        <v>#VALUE!</v>
      </c>
      <c r="X49" s="26">
        <f t="shared" si="9"/>
        <v>44</v>
      </c>
      <c r="Y49" s="26">
        <f t="shared" si="10"/>
        <v>43</v>
      </c>
      <c r="Z49" s="73">
        <f t="shared" si="11"/>
        <v>25</v>
      </c>
      <c r="AA49" s="26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49" s="26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49" s="26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49" s="26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22</v>
      </c>
      <c r="AE49" s="26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21</v>
      </c>
      <c r="AF49" s="26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3</v>
      </c>
      <c r="AG49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H49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I49" s="73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K49" s="112" t="e" vm="30">
        <f>IFERROR(INDEX(ImgDatabase!$J:$J, MATCH(Character[[#This Row],[NameHelper]], ImgDatabase!$E:$E, 0)), "")</f>
        <v>#VALUE!</v>
      </c>
      <c r="AL49" s="73">
        <f>SUM(WeeklyBoss[[#This Row],[NA]:[Burst]])</f>
        <v>8</v>
      </c>
      <c r="AM49" s="27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49" s="27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49" s="61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49" s="107" t="e" vm="541">
        <f>IFERROR(INDEX(ImgDatabase!$M:$M, MATCH(Character[[#This Row],[NameHelper]], ImgDatabase!$E:$E, 0)), "")</f>
        <v>#VALUE!</v>
      </c>
      <c r="AR49" s="61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135</v>
      </c>
      <c r="AT49" s="107" t="e" vm="168">
        <f>IFERROR(INDEX(ImgDatabase!$N:$N, MATCH(Character[[#This Row],[NameHelper]], ImgDatabase!$E:$E, 0)), "")</f>
        <v>#VALUE!</v>
      </c>
      <c r="AU49" s="2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49" s="2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W49" s="2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49" s="2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49" s="27" t="e" vm="442">
        <f>IFERROR(INDEX(ImgDatabase!$L:$L, MATCH(Character[[#This Row],[NameHelper]], ImgDatabase!$E:$E, 0)), "")</f>
        <v>#VALUE!</v>
      </c>
      <c r="BA49" s="8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BB49" s="2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18</v>
      </c>
      <c r="BC49" s="61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49" s="82">
        <f t="shared" si="12"/>
        <v>38</v>
      </c>
      <c r="BE49" s="26">
        <f t="shared" si="13"/>
        <v>44</v>
      </c>
      <c r="BF49" s="73">
        <f t="shared" si="14"/>
        <v>12</v>
      </c>
      <c r="BG49" s="82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49" s="26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49" s="26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49" s="26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49" s="26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49" s="26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49" s="26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49" s="26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49" s="73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49" s="89">
        <f t="shared" si="15"/>
        <v>74</v>
      </c>
      <c r="BQ49" s="32">
        <f t="shared" si="16"/>
        <v>62</v>
      </c>
      <c r="BR49" s="90">
        <f t="shared" si="17"/>
        <v>12</v>
      </c>
      <c r="BT49" s="102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898195</v>
      </c>
      <c r="BU49" s="33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49" s="33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49" s="33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49" s="103">
        <f>SUM(Table40[[#This Row],[Ascension
Cost]:[Talent Cost
(Burst)]])</f>
        <v>2803195</v>
      </c>
    </row>
    <row r="50" spans="1:76" ht="30" customHeight="1" x14ac:dyDescent="0.25">
      <c r="A50" s="52">
        <f>SUBTOTAL(3,$D$3:Character[[#This Row],[NameHelper]])</f>
        <v>48</v>
      </c>
      <c r="B50" s="31" t="e" vm="854">
        <f>IFERROR(INDEX(ImgDatabase!$D:$D, MATCH(Character[[#This Row],[NameHelper]], ImgDatabase!$E:$E, 0)), "")</f>
        <v>#VALUE!</v>
      </c>
      <c r="C50" s="30" t="s">
        <v>554</v>
      </c>
      <c r="D50" s="30" t="s">
        <v>554</v>
      </c>
      <c r="E50" s="29" t="e" vm="112">
        <f>IFERROR(INDEX(ImgDatabase!$G:$G, MATCH(Character[[#This Row],[NameHelper]], ImgDatabase!$E:$E, 0)), "")</f>
        <v>#VALUE!</v>
      </c>
      <c r="F50" s="29" t="e" vm="557">
        <f>IFERROR(INDEX(CharacterDetailsImg[Weapon Type], MATCH(Character[[#This Row],[NameHelper]], CharacterDetailsImg[Name], 0)), "")</f>
        <v>#VALUE!</v>
      </c>
      <c r="G50" s="53">
        <f>IFERROR(INDEX(CharacterDetailsImg[Released Version], MATCH(Character[[#This Row],[NameHelper]], CharacterDetailsImg[Name], 0)), "")</f>
        <v>1</v>
      </c>
      <c r="H50" s="108">
        <v>81</v>
      </c>
      <c r="I50" s="29">
        <v>1</v>
      </c>
      <c r="J50" s="29">
        <v>1</v>
      </c>
      <c r="K50" s="40">
        <v>10</v>
      </c>
      <c r="M50" s="108">
        <v>81</v>
      </c>
      <c r="N50" s="29">
        <v>1</v>
      </c>
      <c r="O50" s="29">
        <v>9</v>
      </c>
      <c r="P50" s="40">
        <v>9</v>
      </c>
      <c r="R50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50" s="108" t="e" vm="348">
        <f>IFERROR(INDEX(ImgDatabase!$I:$I, MATCH(Character[[#This Row],[NameHelper]], ImgDatabase!$E:$E, 0)), "")</f>
        <v>#VALUE!</v>
      </c>
      <c r="U50" s="40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0</v>
      </c>
      <c r="W50" s="64" t="e" vm="53">
        <f>IFERROR(INDEX(ImgDatabase!$K:$K, MATCH(Character[[#This Row],[NameHelper]], ImgDatabase!$E:$E, 0)), "")</f>
        <v>#VALUE!</v>
      </c>
      <c r="X50" s="28">
        <f t="shared" si="9"/>
        <v>22</v>
      </c>
      <c r="Y50" s="28">
        <f t="shared" si="10"/>
        <v>21</v>
      </c>
      <c r="Z50" s="72">
        <f t="shared" si="11"/>
        <v>3</v>
      </c>
      <c r="AA50" s="28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50" s="28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50" s="28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50" s="28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22</v>
      </c>
      <c r="AE50" s="28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21</v>
      </c>
      <c r="AF50" s="28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3</v>
      </c>
      <c r="AG50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H50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I50" s="72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K50" s="64" t="e" vm="210">
        <f>IFERROR(INDEX(ImgDatabase!$J:$J, MATCH(Character[[#This Row],[NameHelper]], ImgDatabase!$E:$E, 0)), "")</f>
        <v>#VALUE!</v>
      </c>
      <c r="AL50" s="72">
        <f>SUM(WeeklyBoss[[#This Row],[NA]:[Burst]])</f>
        <v>4</v>
      </c>
      <c r="AM50" s="2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50" s="2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50" s="40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50" s="108" t="e" vm="561">
        <f>IFERROR(INDEX(ImgDatabase!$M:$M, MATCH(Character[[#This Row],[NameHelper]], ImgDatabase!$E:$E, 0)), "")</f>
        <v>#VALUE!</v>
      </c>
      <c r="AR50" s="40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50" s="108" t="e" vm="117">
        <f>IFERROR(INDEX(ImgDatabase!$N:$N, MATCH(Character[[#This Row],[NameHelper]], ImgDatabase!$E:$E, 0)), "")</f>
        <v>#VALUE!</v>
      </c>
      <c r="AU50" s="2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50" s="2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50" s="2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50" s="2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50" s="29" t="e" vm="115">
        <f>IFERROR(INDEX(ImgDatabase!$L:$L, MATCH(Character[[#This Row],[NameHelper]], ImgDatabase!$E:$E, 0)), "")</f>
        <v>#VALUE!</v>
      </c>
      <c r="BA50" s="39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50" s="2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50" s="40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50" s="71">
        <f t="shared" si="12"/>
        <v>19</v>
      </c>
      <c r="BE50" s="28">
        <f t="shared" si="13"/>
        <v>22</v>
      </c>
      <c r="BF50" s="72">
        <f t="shared" si="14"/>
        <v>6</v>
      </c>
      <c r="BG50" s="71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50" s="2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50" s="2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50" s="2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50" s="2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50" s="2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50" s="2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50" s="2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50" s="72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50" s="91">
        <f t="shared" si="15"/>
        <v>19</v>
      </c>
      <c r="BQ50" s="34">
        <f t="shared" si="16"/>
        <v>22</v>
      </c>
      <c r="BR50" s="92">
        <f t="shared" si="17"/>
        <v>6</v>
      </c>
      <c r="BT50" s="100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50" s="35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50" s="35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50" s="35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50" s="101">
        <f>SUM(Table40[[#This Row],[Ascension
Cost]:[Talent Cost
(Burst)]])</f>
        <v>952500</v>
      </c>
    </row>
    <row r="51" spans="1:76" ht="30" customHeight="1" x14ac:dyDescent="0.25">
      <c r="A51" s="52">
        <f>SUBTOTAL(3,$D$3:Character[[#This Row],[NameHelper]])</f>
        <v>49</v>
      </c>
      <c r="B51" s="31" t="e" vm="855">
        <f>IFERROR(INDEX(ImgDatabase!$D:$D, MATCH(Character[[#This Row],[NameHelper]], ImgDatabase!$E:$E, 0)), "")</f>
        <v>#VALUE!</v>
      </c>
      <c r="C51" s="30" t="s">
        <v>556</v>
      </c>
      <c r="D51" s="30" t="s">
        <v>556</v>
      </c>
      <c r="E51" s="29" t="e" vm="28">
        <f>IFERROR(INDEX(ImgDatabase!$G:$G, MATCH(Character[[#This Row],[NameHelper]], ImgDatabase!$E:$E, 0)), "")</f>
        <v>#VALUE!</v>
      </c>
      <c r="F51" s="29" t="e" vm="557">
        <f>IFERROR(INDEX(CharacterDetailsImg[Weapon Type], MATCH(Character[[#This Row],[NameHelper]], CharacterDetailsImg[Name], 0)), "")</f>
        <v>#VALUE!</v>
      </c>
      <c r="G51" s="53">
        <f>IFERROR(INDEX(CharacterDetailsImg[Released Version], MATCH(Character[[#This Row],[NameHelper]], CharacterDetailsImg[Name], 0)), "")</f>
        <v>3.2</v>
      </c>
      <c r="H51" s="108">
        <v>90</v>
      </c>
      <c r="I51" s="29">
        <v>6</v>
      </c>
      <c r="J51" s="29">
        <v>10</v>
      </c>
      <c r="K51" s="40">
        <v>10</v>
      </c>
      <c r="M51" s="108">
        <v>81</v>
      </c>
      <c r="N51" s="29">
        <v>1</v>
      </c>
      <c r="O51" s="29">
        <v>9</v>
      </c>
      <c r="P51" s="40">
        <v>9</v>
      </c>
      <c r="R51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51" s="108" t="e" vm="527">
        <f>IFERROR(INDEX(ImgDatabase!$I:$I, MATCH(Character[[#This Row],[NameHelper]], ImgDatabase!$E:$E, 0)), "")</f>
        <v>#VALUE!</v>
      </c>
      <c r="U51" s="61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0</v>
      </c>
      <c r="W51" s="64" t="e" vm="31">
        <f>IFERROR(INDEX(ImgDatabase!$K:$K, MATCH(Character[[#This Row],[NameHelper]], ImgDatabase!$E:$E, 0)), "")</f>
        <v>#VALUE!</v>
      </c>
      <c r="X51" s="26">
        <f t="shared" si="9"/>
        <v>0</v>
      </c>
      <c r="Y51" s="26">
        <f t="shared" si="10"/>
        <v>0</v>
      </c>
      <c r="Z51" s="73">
        <f t="shared" si="11"/>
        <v>0</v>
      </c>
      <c r="AA51" s="26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51" s="26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51" s="26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51" s="26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0</v>
      </c>
      <c r="AE51" s="26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0</v>
      </c>
      <c r="AF51" s="26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0</v>
      </c>
      <c r="AG51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H51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I51" s="73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K51" s="112" t="e" vm="403">
        <f>IFERROR(INDEX(ImgDatabase!$J:$J, MATCH(Character[[#This Row],[NameHelper]], ImgDatabase!$E:$E, 0)), "")</f>
        <v>#VALUE!</v>
      </c>
      <c r="AL51" s="73">
        <f>SUM(WeeklyBoss[[#This Row],[NA]:[Burst]])</f>
        <v>0</v>
      </c>
      <c r="AM51" s="27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51" s="27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51" s="61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51" s="107" t="e" vm="511">
        <f>IFERROR(INDEX(ImgDatabase!$M:$M, MATCH(Character[[#This Row],[NameHelper]], ImgDatabase!$E:$E, 0)), "")</f>
        <v>#VALUE!</v>
      </c>
      <c r="AR51" s="61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51" s="107" t="e" vm="34">
        <f>IFERROR(INDEX(ImgDatabase!$N:$N, MATCH(Character[[#This Row],[NameHelper]], ImgDatabase!$E:$E, 0)), "")</f>
        <v>#VALUE!</v>
      </c>
      <c r="AU51" s="2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51" s="2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51" s="2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51" s="2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51" s="27" t="e" vm="271">
        <f>IFERROR(INDEX(ImgDatabase!$L:$L, MATCH(Character[[#This Row],[NameHelper]], ImgDatabase!$E:$E, 0)), "")</f>
        <v>#VALUE!</v>
      </c>
      <c r="BA51" s="8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51" s="2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51" s="61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51" s="82">
        <f t="shared" si="12"/>
        <v>0</v>
      </c>
      <c r="BE51" s="26">
        <f t="shared" si="13"/>
        <v>0</v>
      </c>
      <c r="BF51" s="73">
        <f t="shared" si="14"/>
        <v>0</v>
      </c>
      <c r="BG51" s="82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51" s="26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51" s="26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51" s="26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51" s="26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51" s="26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51" s="26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51" s="26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51" s="73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51" s="89">
        <f t="shared" si="15"/>
        <v>0</v>
      </c>
      <c r="BQ51" s="32">
        <f t="shared" si="16"/>
        <v>0</v>
      </c>
      <c r="BR51" s="90">
        <f t="shared" si="17"/>
        <v>0</v>
      </c>
      <c r="BT51" s="102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51" s="33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51" s="33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51" s="33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51" s="103">
        <f>SUM(Table40[[#This Row],[Ascension
Cost]:[Talent Cost
(Burst)]])</f>
        <v>0</v>
      </c>
    </row>
    <row r="52" spans="1:76" ht="30" customHeight="1" x14ac:dyDescent="0.25">
      <c r="A52" s="52">
        <f>SUBTOTAL(3,$D$3:Character[[#This Row],[NameHelper]])</f>
        <v>50</v>
      </c>
      <c r="B52" s="31" t="e" vm="856">
        <f>IFERROR(INDEX(ImgDatabase!$D:$D, MATCH(Character[[#This Row],[NameHelper]], ImgDatabase!$E:$E, 0)), "")</f>
        <v>#VALUE!</v>
      </c>
      <c r="C52" s="30" t="s">
        <v>524</v>
      </c>
      <c r="D52" s="30" t="s">
        <v>524</v>
      </c>
      <c r="E52" s="29" t="e" vm="6">
        <f>IFERROR(INDEX(ImgDatabase!$G:$G, MATCH(Character[[#This Row],[NameHelper]], ImgDatabase!$E:$E, 0)), "")</f>
        <v>#VALUE!</v>
      </c>
      <c r="F52" s="29" t="e" vm="487">
        <f>IFERROR(INDEX(CharacterDetailsImg[Weapon Type], MATCH(Character[[#This Row],[NameHelper]], CharacterDetailsImg[Name], 0)), "")</f>
        <v>#VALUE!</v>
      </c>
      <c r="G52" s="53">
        <f>IFERROR(INDEX(CharacterDetailsImg[Released Version], MATCH(Character[[#This Row],[NameHelper]], CharacterDetailsImg[Name], 0)), "")</f>
        <v>4.3</v>
      </c>
      <c r="H52" s="108">
        <v>0</v>
      </c>
      <c r="I52" s="29">
        <v>0</v>
      </c>
      <c r="J52" s="29">
        <v>0</v>
      </c>
      <c r="K52" s="40">
        <v>0</v>
      </c>
      <c r="M52" s="108">
        <v>81</v>
      </c>
      <c r="N52" s="29">
        <v>1</v>
      </c>
      <c r="O52" s="29">
        <v>9</v>
      </c>
      <c r="P52" s="40">
        <v>9</v>
      </c>
      <c r="R52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52" s="108" t="e" vm="518">
        <f>IFERROR(INDEX(ImgDatabase!$I:$I, MATCH(Character[[#This Row],[NameHelper]], ImgDatabase!$E:$E, 0)), "")</f>
        <v>#VALUE!</v>
      </c>
      <c r="U52" s="40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0</v>
      </c>
      <c r="W52" s="64" t="e" vm="441">
        <f>IFERROR(INDEX(ImgDatabase!$K:$K, MATCH(Character[[#This Row],[NameHelper]], ImgDatabase!$E:$E, 0)), "")</f>
        <v>#VALUE!</v>
      </c>
      <c r="X52" s="28">
        <f t="shared" si="9"/>
        <v>0</v>
      </c>
      <c r="Y52" s="28">
        <f t="shared" si="10"/>
        <v>0</v>
      </c>
      <c r="Z52" s="72">
        <f t="shared" si="11"/>
        <v>0</v>
      </c>
      <c r="AA52" s="28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52" s="28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52" s="28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52" s="28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0</v>
      </c>
      <c r="AE52" s="28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0</v>
      </c>
      <c r="AF52" s="28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0</v>
      </c>
      <c r="AG52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H52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I52" s="72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K52" s="64" t="e" vm="73">
        <f>IFERROR(INDEX(ImgDatabase!$J:$J, MATCH(Character[[#This Row],[NameHelper]], ImgDatabase!$E:$E, 0)), "")</f>
        <v>#VALUE!</v>
      </c>
      <c r="AL52" s="72">
        <f>SUM(WeeklyBoss[[#This Row],[NA]:[Burst]])</f>
        <v>0</v>
      </c>
      <c r="AM52" s="2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52" s="2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52" s="40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52" s="108" t="e" vm="532">
        <f>IFERROR(INDEX(ImgDatabase!$M:$M, MATCH(Character[[#This Row],[NameHelper]], ImgDatabase!$E:$E, 0)), "")</f>
        <v>#VALUE!</v>
      </c>
      <c r="AR52" s="40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52" s="108" t="e" vm="12">
        <f>IFERROR(INDEX(ImgDatabase!$N:$N, MATCH(Character[[#This Row],[NameHelper]], ImgDatabase!$E:$E, 0)), "")</f>
        <v>#VALUE!</v>
      </c>
      <c r="AU52" s="2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52" s="2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52" s="2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52" s="2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52" s="29" t="e" vm="95">
        <f>IFERROR(INDEX(ImgDatabase!$L:$L, MATCH(Character[[#This Row],[NameHelper]], ImgDatabase!$E:$E, 0)), "")</f>
        <v>#VALUE!</v>
      </c>
      <c r="BA52" s="39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52" s="2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52" s="40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52" s="71">
        <f t="shared" si="12"/>
        <v>0</v>
      </c>
      <c r="BE52" s="28">
        <f t="shared" si="13"/>
        <v>0</v>
      </c>
      <c r="BF52" s="72">
        <f t="shared" si="14"/>
        <v>0</v>
      </c>
      <c r="BG52" s="71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52" s="2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52" s="2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52" s="2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52" s="2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52" s="2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52" s="2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52" s="2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52" s="72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52" s="91">
        <f t="shared" si="15"/>
        <v>0</v>
      </c>
      <c r="BQ52" s="34">
        <f t="shared" si="16"/>
        <v>0</v>
      </c>
      <c r="BR52" s="92">
        <f t="shared" si="17"/>
        <v>0</v>
      </c>
      <c r="BT52" s="100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52" s="35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52" s="35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52" s="35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52" s="101">
        <f>SUM(Table40[[#This Row],[Ascension
Cost]:[Talent Cost
(Burst)]])</f>
        <v>0</v>
      </c>
    </row>
    <row r="53" spans="1:76" ht="30" customHeight="1" x14ac:dyDescent="0.25">
      <c r="A53" s="52">
        <f>SUBTOTAL(3,$D$3:Character[[#This Row],[NameHelper]])</f>
        <v>51</v>
      </c>
      <c r="B53" s="31" t="e" vm="857">
        <f>IFERROR(INDEX(ImgDatabase!$D:$D, MATCH(Character[[#This Row],[NameHelper]], ImgDatabase!$E:$E, 0)), "")</f>
        <v>#VALUE!</v>
      </c>
      <c r="C53" s="30" t="s">
        <v>558</v>
      </c>
      <c r="D53" s="30" t="s">
        <v>558</v>
      </c>
      <c r="E53" s="29" t="e" vm="112">
        <f>IFERROR(INDEX(ImgDatabase!$G:$G, MATCH(Character[[#This Row],[NameHelper]], ImgDatabase!$E:$E, 0)), "")</f>
        <v>#VALUE!</v>
      </c>
      <c r="F53" s="29" t="e" vm="557">
        <f>IFERROR(INDEX(CharacterDetailsImg[Weapon Type], MATCH(Character[[#This Row],[NameHelper]], CharacterDetailsImg[Name], 0)), "")</f>
        <v>#VALUE!</v>
      </c>
      <c r="G53" s="53">
        <f>IFERROR(INDEX(CharacterDetailsImg[Released Version], MATCH(Character[[#This Row],[NameHelper]], CharacterDetailsImg[Name], 0)), "")</f>
        <v>4.0999999999999996</v>
      </c>
      <c r="H53" s="108">
        <v>90</v>
      </c>
      <c r="I53" s="29">
        <v>10</v>
      </c>
      <c r="J53" s="29">
        <v>10</v>
      </c>
      <c r="K53" s="40">
        <v>10</v>
      </c>
      <c r="M53" s="108">
        <v>81</v>
      </c>
      <c r="N53" s="29">
        <v>1</v>
      </c>
      <c r="O53" s="29">
        <v>9</v>
      </c>
      <c r="P53" s="40">
        <v>9</v>
      </c>
      <c r="R53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53" s="108" t="e" vm="92">
        <f>IFERROR(INDEX(ImgDatabase!$I:$I, MATCH(Character[[#This Row],[NameHelper]], ImgDatabase!$E:$E, 0)), "")</f>
        <v>#VALUE!</v>
      </c>
      <c r="U53" s="61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0</v>
      </c>
      <c r="W53" s="64" t="e" vm="441">
        <f>IFERROR(INDEX(ImgDatabase!$K:$K, MATCH(Character[[#This Row],[NameHelper]], ImgDatabase!$E:$E, 0)), "")</f>
        <v>#VALUE!</v>
      </c>
      <c r="X53" s="26">
        <f t="shared" si="9"/>
        <v>0</v>
      </c>
      <c r="Y53" s="26">
        <f t="shared" si="10"/>
        <v>0</v>
      </c>
      <c r="Z53" s="73">
        <f t="shared" si="11"/>
        <v>0</v>
      </c>
      <c r="AA53" s="26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53" s="26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53" s="26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53" s="26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0</v>
      </c>
      <c r="AE53" s="26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0</v>
      </c>
      <c r="AF53" s="26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0</v>
      </c>
      <c r="AG53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H53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I53" s="73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K53" s="112" t="e" vm="93">
        <f>IFERROR(INDEX(ImgDatabase!$J:$J, MATCH(Character[[#This Row],[NameHelper]], ImgDatabase!$E:$E, 0)), "")</f>
        <v>#VALUE!</v>
      </c>
      <c r="AL53" s="73">
        <f>SUM(WeeklyBoss[[#This Row],[NA]:[Burst]])</f>
        <v>0</v>
      </c>
      <c r="AM53" s="27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53" s="27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53" s="61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53" s="107" t="e" vm="96">
        <f>IFERROR(INDEX(ImgDatabase!$M:$M, MATCH(Character[[#This Row],[NameHelper]], ImgDatabase!$E:$E, 0)), "")</f>
        <v>#VALUE!</v>
      </c>
      <c r="AR53" s="61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53" s="107" t="e" vm="117">
        <f>IFERROR(INDEX(ImgDatabase!$N:$N, MATCH(Character[[#This Row],[NameHelper]], ImgDatabase!$E:$E, 0)), "")</f>
        <v>#VALUE!</v>
      </c>
      <c r="AU53" s="2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53" s="2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53" s="2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53" s="2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53" s="27" t="e" vm="95">
        <f>IFERROR(INDEX(ImgDatabase!$L:$L, MATCH(Character[[#This Row],[NameHelper]], ImgDatabase!$E:$E, 0)), "")</f>
        <v>#VALUE!</v>
      </c>
      <c r="BA53" s="8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53" s="2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53" s="61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53" s="82">
        <f t="shared" si="12"/>
        <v>0</v>
      </c>
      <c r="BE53" s="26">
        <f t="shared" si="13"/>
        <v>0</v>
      </c>
      <c r="BF53" s="73">
        <f t="shared" si="14"/>
        <v>0</v>
      </c>
      <c r="BG53" s="82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53" s="26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53" s="26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53" s="26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53" s="26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53" s="26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53" s="26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53" s="26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53" s="73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53" s="89">
        <f t="shared" si="15"/>
        <v>0</v>
      </c>
      <c r="BQ53" s="32">
        <f t="shared" si="16"/>
        <v>0</v>
      </c>
      <c r="BR53" s="90">
        <f t="shared" si="17"/>
        <v>0</v>
      </c>
      <c r="BT53" s="102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53" s="33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53" s="33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53" s="33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53" s="103">
        <f>SUM(Table40[[#This Row],[Ascension
Cost]:[Talent Cost
(Burst)]])</f>
        <v>0</v>
      </c>
    </row>
    <row r="54" spans="1:76" ht="30" customHeight="1" x14ac:dyDescent="0.25">
      <c r="A54" s="52">
        <f>SUBTOTAL(3,$D$3:Character[[#This Row],[NameHelper]])</f>
        <v>52</v>
      </c>
      <c r="B54" s="31" t="e" vm="858">
        <f>IFERROR(INDEX(ImgDatabase!$D:$D, MATCH(Character[[#This Row],[NameHelper]], ImgDatabase!$E:$E, 0)), "")</f>
        <v>#VALUE!</v>
      </c>
      <c r="C54" s="30" t="s">
        <v>275</v>
      </c>
      <c r="D54" s="30" t="s">
        <v>275</v>
      </c>
      <c r="E54" s="29" t="e" vm="112">
        <f>IFERROR(INDEX(ImgDatabase!$G:$G, MATCH(Character[[#This Row],[NameHelper]], ImgDatabase!$E:$E, 0)), "")</f>
        <v>#VALUE!</v>
      </c>
      <c r="F54" s="29" t="e" vm="5">
        <f>IFERROR(INDEX(CharacterDetailsImg[Weapon Type], MATCH(Character[[#This Row],[NameHelper]], CharacterDetailsImg[Name], 0)), "")</f>
        <v>#VALUE!</v>
      </c>
      <c r="G54" s="53">
        <f>IFERROR(INDEX(CharacterDetailsImg[Released Version], MATCH(Character[[#This Row],[NameHelper]], CharacterDetailsImg[Name], 0)), "")</f>
        <v>3.1</v>
      </c>
      <c r="H54" s="108">
        <v>0</v>
      </c>
      <c r="I54" s="29">
        <v>0</v>
      </c>
      <c r="J54" s="29">
        <v>0</v>
      </c>
      <c r="K54" s="40">
        <v>0</v>
      </c>
      <c r="M54" s="108">
        <v>81</v>
      </c>
      <c r="N54" s="29">
        <v>1</v>
      </c>
      <c r="O54" s="29">
        <v>9</v>
      </c>
      <c r="P54" s="40">
        <v>9</v>
      </c>
      <c r="R54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54" s="108" t="e" vm="249">
        <f>IFERROR(INDEX(ImgDatabase!$I:$I, MATCH(Character[[#This Row],[NameHelper]], ImgDatabase!$E:$E, 0)), "")</f>
        <v>#VALUE!</v>
      </c>
      <c r="U54" s="40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0</v>
      </c>
      <c r="W54" s="64" t="e" vm="270">
        <f>IFERROR(INDEX(ImgDatabase!$K:$K, MATCH(Character[[#This Row],[NameHelper]], ImgDatabase!$E:$E, 0)), "")</f>
        <v>#VALUE!</v>
      </c>
      <c r="X54" s="28">
        <f t="shared" si="9"/>
        <v>0</v>
      </c>
      <c r="Y54" s="28">
        <f t="shared" si="10"/>
        <v>0</v>
      </c>
      <c r="Z54" s="72">
        <f t="shared" si="11"/>
        <v>0</v>
      </c>
      <c r="AA54" s="28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54" s="28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54" s="28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54" s="28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0</v>
      </c>
      <c r="AE54" s="28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0</v>
      </c>
      <c r="AF54" s="28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0</v>
      </c>
      <c r="AG54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H54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I54" s="72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K54" s="64" t="e" vm="239">
        <f>IFERROR(INDEX(ImgDatabase!$J:$J, MATCH(Character[[#This Row],[NameHelper]], ImgDatabase!$E:$E, 0)), "")</f>
        <v>#VALUE!</v>
      </c>
      <c r="AL54" s="72">
        <f>SUM(WeeklyBoss[[#This Row],[NA]:[Burst]])</f>
        <v>0</v>
      </c>
      <c r="AM54" s="2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54" s="2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54" s="40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54" s="108" t="e" vm="272">
        <f>IFERROR(INDEX(ImgDatabase!$M:$M, MATCH(Character[[#This Row],[NameHelper]], ImgDatabase!$E:$E, 0)), "")</f>
        <v>#VALUE!</v>
      </c>
      <c r="AR54" s="40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54" s="108" t="e" vm="117">
        <f>IFERROR(INDEX(ImgDatabase!$N:$N, MATCH(Character[[#This Row],[NameHelper]], ImgDatabase!$E:$E, 0)), "")</f>
        <v>#VALUE!</v>
      </c>
      <c r="AU54" s="2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54" s="2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54" s="2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54" s="2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54" s="29" t="e" vm="271">
        <f>IFERROR(INDEX(ImgDatabase!$L:$L, MATCH(Character[[#This Row],[NameHelper]], ImgDatabase!$E:$E, 0)), "")</f>
        <v>#VALUE!</v>
      </c>
      <c r="BA54" s="39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54" s="2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54" s="40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54" s="71">
        <f t="shared" si="12"/>
        <v>0</v>
      </c>
      <c r="BE54" s="28">
        <f t="shared" si="13"/>
        <v>0</v>
      </c>
      <c r="BF54" s="72">
        <f t="shared" si="14"/>
        <v>0</v>
      </c>
      <c r="BG54" s="71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54" s="2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54" s="2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54" s="2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54" s="2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54" s="2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54" s="2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54" s="2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54" s="72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54" s="91">
        <f t="shared" si="15"/>
        <v>0</v>
      </c>
      <c r="BQ54" s="34">
        <f t="shared" si="16"/>
        <v>0</v>
      </c>
      <c r="BR54" s="92">
        <f t="shared" si="17"/>
        <v>0</v>
      </c>
      <c r="BT54" s="100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54" s="35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54" s="35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54" s="35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54" s="101">
        <f>SUM(Table40[[#This Row],[Ascension
Cost]:[Talent Cost
(Burst)]])</f>
        <v>0</v>
      </c>
    </row>
    <row r="55" spans="1:76" ht="30" customHeight="1" x14ac:dyDescent="0.25">
      <c r="A55" s="52">
        <f>SUBTOTAL(3,$D$3:Character[[#This Row],[NameHelper]])</f>
        <v>53</v>
      </c>
      <c r="B55" s="31" t="e" vm="859">
        <f>IFERROR(INDEX(ImgDatabase!$D:$D, MATCH(Character[[#This Row],[NameHelper]], ImgDatabase!$E:$E, 0)), "")</f>
        <v>#VALUE!</v>
      </c>
      <c r="C55" s="30" t="s">
        <v>560</v>
      </c>
      <c r="D55" s="30" t="s">
        <v>560</v>
      </c>
      <c r="E55" s="29" t="e" vm="6">
        <f>IFERROR(INDEX(ImgDatabase!$G:$G, MATCH(Character[[#This Row],[NameHelper]], ImgDatabase!$E:$E, 0)), "")</f>
        <v>#VALUE!</v>
      </c>
      <c r="F55" s="29" t="e" vm="557">
        <f>IFERROR(INDEX(CharacterDetailsImg[Weapon Type], MATCH(Character[[#This Row],[NameHelper]], CharacterDetailsImg[Name], 0)), "")</f>
        <v>#VALUE!</v>
      </c>
      <c r="G55" s="53">
        <f>IFERROR(INDEX(CharacterDetailsImg[Released Version], MATCH(Character[[#This Row],[NameHelper]], CharacterDetailsImg[Name], 0)), "")</f>
        <v>1</v>
      </c>
      <c r="H55" s="108">
        <v>81</v>
      </c>
      <c r="I55" s="29">
        <v>8</v>
      </c>
      <c r="J55" s="29">
        <v>8</v>
      </c>
      <c r="K55" s="40">
        <v>8</v>
      </c>
      <c r="M55" s="108">
        <v>81</v>
      </c>
      <c r="N55" s="29">
        <v>1</v>
      </c>
      <c r="O55" s="29">
        <v>9</v>
      </c>
      <c r="P55" s="40">
        <v>9</v>
      </c>
      <c r="R55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55" s="108" t="e" vm="7">
        <f>IFERROR(INDEX(ImgDatabase!$I:$I, MATCH(Character[[#This Row],[NameHelper]], ImgDatabase!$E:$E, 0)), "")</f>
        <v>#VALUE!</v>
      </c>
      <c r="U55" s="61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0</v>
      </c>
      <c r="W55" s="64" t="e" vm="211">
        <f>IFERROR(INDEX(ImgDatabase!$K:$K, MATCH(Character[[#This Row],[NameHelper]], ImgDatabase!$E:$E, 0)), "")</f>
        <v>#VALUE!</v>
      </c>
      <c r="X55" s="26">
        <f t="shared" si="9"/>
        <v>24</v>
      </c>
      <c r="Y55" s="26">
        <f t="shared" si="10"/>
        <v>12</v>
      </c>
      <c r="Z55" s="73">
        <f t="shared" si="11"/>
        <v>12</v>
      </c>
      <c r="AA55" s="26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55" s="26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55" s="26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55" s="26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12</v>
      </c>
      <c r="AE55" s="26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0</v>
      </c>
      <c r="AF55" s="26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0</v>
      </c>
      <c r="AG55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12</v>
      </c>
      <c r="AH55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12</v>
      </c>
      <c r="AI55" s="73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12</v>
      </c>
      <c r="AK55" s="112" t="e" vm="166">
        <f>IFERROR(INDEX(ImgDatabase!$J:$J, MATCH(Character[[#This Row],[NameHelper]], ImgDatabase!$E:$E, 0)), "")</f>
        <v>#VALUE!</v>
      </c>
      <c r="AL55" s="73">
        <f>SUM(WeeklyBoss[[#This Row],[NA]:[Burst]])</f>
        <v>4</v>
      </c>
      <c r="AM55" s="27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55" s="27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2</v>
      </c>
      <c r="AO55" s="61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2</v>
      </c>
      <c r="AQ55" s="107" t="e" vm="579">
        <f>IFERROR(INDEX(ImgDatabase!$M:$M, MATCH(Character[[#This Row],[NameHelper]], ImgDatabase!$E:$E, 0)), "")</f>
        <v>#VALUE!</v>
      </c>
      <c r="AR55" s="61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55" s="107" t="e" vm="12">
        <f>IFERROR(INDEX(ImgDatabase!$N:$N, MATCH(Character[[#This Row],[NameHelper]], ImgDatabase!$E:$E, 0)), "")</f>
        <v>#VALUE!</v>
      </c>
      <c r="AU55" s="2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55" s="2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55" s="2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55" s="2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55" s="27" t="e" vm="442">
        <f>IFERROR(INDEX(ImgDatabase!$L:$L, MATCH(Character[[#This Row],[NameHelper]], ImgDatabase!$E:$E, 0)), "")</f>
        <v>#VALUE!</v>
      </c>
      <c r="BA55" s="8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55" s="2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55" s="61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55" s="82">
        <f t="shared" si="12"/>
        <v>18</v>
      </c>
      <c r="BE55" s="26">
        <f t="shared" si="13"/>
        <v>0</v>
      </c>
      <c r="BF55" s="73">
        <f t="shared" si="14"/>
        <v>0</v>
      </c>
      <c r="BG55" s="82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55" s="26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55" s="26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55" s="26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9</v>
      </c>
      <c r="BK55" s="26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55" s="26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55" s="26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9</v>
      </c>
      <c r="BN55" s="26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55" s="73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55" s="89">
        <f t="shared" si="15"/>
        <v>18</v>
      </c>
      <c r="BQ55" s="32">
        <f t="shared" si="16"/>
        <v>0</v>
      </c>
      <c r="BR55" s="90">
        <f t="shared" si="17"/>
        <v>0</v>
      </c>
      <c r="BT55" s="102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55" s="33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55" s="33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450000</v>
      </c>
      <c r="BW55" s="33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450000</v>
      </c>
      <c r="BX55" s="103">
        <f>SUM(Table40[[#This Row],[Ascension
Cost]:[Talent Cost
(Burst)]])</f>
        <v>900000</v>
      </c>
    </row>
    <row r="56" spans="1:76" ht="30" customHeight="1" x14ac:dyDescent="0.25">
      <c r="A56" s="52">
        <f>SUBTOTAL(3,$D$3:Character[[#This Row],[NameHelper]])</f>
        <v>54</v>
      </c>
      <c r="B56" s="31" t="e" vm="860">
        <f>IFERROR(INDEX(ImgDatabase!$D:$D, MATCH(Character[[#This Row],[NameHelper]], ImgDatabase!$E:$E, 0)), "")</f>
        <v>#VALUE!</v>
      </c>
      <c r="C56" s="30" t="s">
        <v>527</v>
      </c>
      <c r="D56" s="30" t="s">
        <v>527</v>
      </c>
      <c r="E56" s="29" t="e" vm="6">
        <f>IFERROR(INDEX(ImgDatabase!$G:$G, MATCH(Character[[#This Row],[NameHelper]], ImgDatabase!$E:$E, 0)), "")</f>
        <v>#VALUE!</v>
      </c>
      <c r="F56" s="29" t="e" vm="487">
        <f>IFERROR(INDEX(CharacterDetailsImg[Weapon Type], MATCH(Character[[#This Row],[NameHelper]], CharacterDetailsImg[Name], 0)), "")</f>
        <v>#VALUE!</v>
      </c>
      <c r="G56" s="53">
        <f>IFERROR(INDEX(CharacterDetailsImg[Released Version], MATCH(Character[[#This Row],[NameHelper]], CharacterDetailsImg[Name], 0)), "")</f>
        <v>1</v>
      </c>
      <c r="H56" s="108">
        <v>81</v>
      </c>
      <c r="I56" s="29">
        <v>1</v>
      </c>
      <c r="J56" s="29">
        <v>5</v>
      </c>
      <c r="K56" s="40">
        <v>1</v>
      </c>
      <c r="M56" s="108">
        <v>81</v>
      </c>
      <c r="N56" s="29">
        <v>1</v>
      </c>
      <c r="O56" s="29">
        <v>9</v>
      </c>
      <c r="P56" s="40">
        <v>9</v>
      </c>
      <c r="R56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56" s="108" t="e" vm="7">
        <f>IFERROR(INDEX(ImgDatabase!$I:$I, MATCH(Character[[#This Row],[NameHelper]], ImgDatabase!$E:$E, 0)), "")</f>
        <v>#VALUE!</v>
      </c>
      <c r="U56" s="40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0</v>
      </c>
      <c r="W56" s="64" t="e" vm="53">
        <f>IFERROR(INDEX(ImgDatabase!$K:$K, MATCH(Character[[#This Row],[NameHelper]], ImgDatabase!$E:$E, 0)), "")</f>
        <v>#VALUE!</v>
      </c>
      <c r="X56" s="28">
        <f t="shared" si="9"/>
        <v>44</v>
      </c>
      <c r="Y56" s="28">
        <f t="shared" si="10"/>
        <v>31</v>
      </c>
      <c r="Z56" s="72">
        <f t="shared" si="11"/>
        <v>22</v>
      </c>
      <c r="AA56" s="28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56" s="28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56" s="28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56" s="28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22</v>
      </c>
      <c r="AE56" s="28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9</v>
      </c>
      <c r="AF56" s="28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0</v>
      </c>
      <c r="AG56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H56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I56" s="72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K56" s="64" t="e" vm="536">
        <f>IFERROR(INDEX(ImgDatabase!$J:$J, MATCH(Character[[#This Row],[NameHelper]], ImgDatabase!$E:$E, 0)), "")</f>
        <v>#VALUE!</v>
      </c>
      <c r="AL56" s="72">
        <f>SUM(WeeklyBoss[[#This Row],[NA]:[Burst]])</f>
        <v>8</v>
      </c>
      <c r="AM56" s="2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56" s="2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56" s="40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56" s="108" t="e" vm="537">
        <f>IFERROR(INDEX(ImgDatabase!$M:$M, MATCH(Character[[#This Row],[NameHelper]], ImgDatabase!$E:$E, 0)), "")</f>
        <v>#VALUE!</v>
      </c>
      <c r="AR56" s="40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56" s="108" t="e" vm="12">
        <f>IFERROR(INDEX(ImgDatabase!$N:$N, MATCH(Character[[#This Row],[NameHelper]], ImgDatabase!$E:$E, 0)), "")</f>
        <v>#VALUE!</v>
      </c>
      <c r="AU56" s="2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56" s="2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56" s="2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56" s="2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56" s="29" t="e" vm="133">
        <f>IFERROR(INDEX(ImgDatabase!$L:$L, MATCH(Character[[#This Row],[NameHelper]], ImgDatabase!$E:$E, 0)), "")</f>
        <v>#VALUE!</v>
      </c>
      <c r="BA56" s="39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56" s="2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56" s="40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56" s="71">
        <f t="shared" si="12"/>
        <v>38</v>
      </c>
      <c r="BE56" s="28">
        <f t="shared" si="13"/>
        <v>31</v>
      </c>
      <c r="BF56" s="72">
        <f t="shared" si="14"/>
        <v>6</v>
      </c>
      <c r="BG56" s="71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56" s="2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56" s="2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56" s="2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56" s="2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9</v>
      </c>
      <c r="BL56" s="2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56" s="2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56" s="2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56" s="72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56" s="91">
        <f t="shared" si="15"/>
        <v>38</v>
      </c>
      <c r="BQ56" s="34">
        <f t="shared" si="16"/>
        <v>31</v>
      </c>
      <c r="BR56" s="92">
        <f t="shared" si="17"/>
        <v>6</v>
      </c>
      <c r="BT56" s="100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56" s="35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56" s="35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867500</v>
      </c>
      <c r="BW56" s="35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56" s="101">
        <f>SUM(Table40[[#This Row],[Ascension
Cost]:[Talent Cost
(Burst)]])</f>
        <v>1820000</v>
      </c>
    </row>
    <row r="57" spans="1:76" ht="30" customHeight="1" x14ac:dyDescent="0.25">
      <c r="A57" s="52">
        <f>SUBTOTAL(3,$D$3:Character[[#This Row],[NameHelper]])</f>
        <v>55</v>
      </c>
      <c r="B57" s="31" t="e" vm="861">
        <f>IFERROR(INDEX(ImgDatabase!$D:$D, MATCH(Character[[#This Row],[NameHelper]], ImgDatabase!$E:$E, 0)), "")</f>
        <v>#VALUE!</v>
      </c>
      <c r="C57" s="30" t="s">
        <v>284</v>
      </c>
      <c r="D57" s="30" t="s">
        <v>284</v>
      </c>
      <c r="E57" s="29" t="e" vm="164">
        <f>IFERROR(INDEX(ImgDatabase!$G:$G, MATCH(Character[[#This Row],[NameHelper]], ImgDatabase!$E:$E, 0)), "")</f>
        <v>#VALUE!</v>
      </c>
      <c r="F57" s="29" t="e" vm="5">
        <f>IFERROR(INDEX(CharacterDetailsImg[Weapon Type], MATCH(Character[[#This Row],[NameHelper]], CharacterDetailsImg[Name], 0)), "")</f>
        <v>#VALUE!</v>
      </c>
      <c r="G57" s="53">
        <f>IFERROR(INDEX(CharacterDetailsImg[Released Version], MATCH(Character[[#This Row],[NameHelper]], CharacterDetailsImg[Name], 0)), "")</f>
        <v>1</v>
      </c>
      <c r="H57" s="108">
        <v>80</v>
      </c>
      <c r="I57" s="29">
        <v>2</v>
      </c>
      <c r="J57" s="29">
        <v>5</v>
      </c>
      <c r="K57" s="40">
        <v>5</v>
      </c>
      <c r="M57" s="108">
        <v>81</v>
      </c>
      <c r="N57" s="29">
        <v>1</v>
      </c>
      <c r="O57" s="29">
        <v>9</v>
      </c>
      <c r="P57" s="40">
        <v>9</v>
      </c>
      <c r="R57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10</v>
      </c>
      <c r="T57" s="108" t="e" vm="165">
        <f>IFERROR(INDEX(ImgDatabase!$I:$I, MATCH(Character[[#This Row],[NameHelper]], ImgDatabase!$E:$E, 0)), "")</f>
        <v>#VALUE!</v>
      </c>
      <c r="U57" s="61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20</v>
      </c>
      <c r="W57" s="64" t="e" vm="211">
        <f>IFERROR(INDEX(ImgDatabase!$K:$K, MATCH(Character[[#This Row],[NameHelper]], ImgDatabase!$E:$E, 0)), "")</f>
        <v>#VALUE!</v>
      </c>
      <c r="X57" s="26">
        <f t="shared" si="9"/>
        <v>44</v>
      </c>
      <c r="Y57" s="26">
        <f t="shared" si="10"/>
        <v>31</v>
      </c>
      <c r="Z57" s="73">
        <f t="shared" si="11"/>
        <v>22</v>
      </c>
      <c r="AA57" s="26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57" s="26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57" s="26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57" s="26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22</v>
      </c>
      <c r="AE57" s="26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9</v>
      </c>
      <c r="AF57" s="26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0</v>
      </c>
      <c r="AG57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H57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I57" s="73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K57" s="112" t="e" vm="281">
        <f>IFERROR(INDEX(ImgDatabase!$J:$J, MATCH(Character[[#This Row],[NameHelper]], ImgDatabase!$E:$E, 0)), "")</f>
        <v>#VALUE!</v>
      </c>
      <c r="AL57" s="73">
        <f>SUM(WeeklyBoss[[#This Row],[NA]:[Burst]])</f>
        <v>8</v>
      </c>
      <c r="AM57" s="27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57" s="27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57" s="61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57" s="107" t="e" vm="282">
        <f>IFERROR(INDEX(ImgDatabase!$M:$M, MATCH(Character[[#This Row],[NameHelper]], ImgDatabase!$E:$E, 0)), "")</f>
        <v>#VALUE!</v>
      </c>
      <c r="AR57" s="61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60</v>
      </c>
      <c r="AT57" s="107" t="e" vm="168">
        <f>IFERROR(INDEX(ImgDatabase!$N:$N, MATCH(Character[[#This Row],[NameHelper]], ImgDatabase!$E:$E, 0)), "")</f>
        <v>#VALUE!</v>
      </c>
      <c r="AU57" s="2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57" s="2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57" s="2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57" s="2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57" s="27" t="e" vm="10">
        <f>IFERROR(INDEX(ImgDatabase!$L:$L, MATCH(Character[[#This Row],[NameHelper]], ImgDatabase!$E:$E, 0)), "")</f>
        <v>#VALUE!</v>
      </c>
      <c r="BA57" s="8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24</v>
      </c>
      <c r="BB57" s="2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57" s="61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57" s="82">
        <f t="shared" si="12"/>
        <v>38</v>
      </c>
      <c r="BE57" s="26">
        <f t="shared" si="13"/>
        <v>18</v>
      </c>
      <c r="BF57" s="73">
        <f t="shared" si="14"/>
        <v>0</v>
      </c>
      <c r="BG57" s="82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57" s="26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57" s="26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57" s="26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57" s="26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9</v>
      </c>
      <c r="BL57" s="26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57" s="26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57" s="26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9</v>
      </c>
      <c r="BO57" s="73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57" s="89">
        <f t="shared" si="15"/>
        <v>62</v>
      </c>
      <c r="BQ57" s="32">
        <f t="shared" si="16"/>
        <v>18</v>
      </c>
      <c r="BR57" s="90">
        <f t="shared" si="17"/>
        <v>0</v>
      </c>
      <c r="BT57" s="102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156635</v>
      </c>
      <c r="BU57" s="33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57" s="33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867500</v>
      </c>
      <c r="BW57" s="33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867500</v>
      </c>
      <c r="BX57" s="103">
        <f>SUM(Table40[[#This Row],[Ascension
Cost]:[Talent Cost
(Burst)]])</f>
        <v>1891635</v>
      </c>
    </row>
    <row r="58" spans="1:76" ht="30" customHeight="1" x14ac:dyDescent="0.25">
      <c r="A58" s="52">
        <f>SUBTOTAL(3,$D$3:Character[[#This Row],[NameHelper]])</f>
        <v>56</v>
      </c>
      <c r="B58" s="31" t="e" vm="862">
        <f>IFERROR(INDEX(ImgDatabase!$D:$D, MATCH(Character[[#This Row],[NameHelper]], ImgDatabase!$E:$E, 0)), "")</f>
        <v>#VALUE!</v>
      </c>
      <c r="C58" s="30" t="s">
        <v>751</v>
      </c>
      <c r="D58" s="30" t="s">
        <v>588</v>
      </c>
      <c r="E58" s="29" t="e" vm="91">
        <f>IFERROR(INDEX(ImgDatabase!$G:$G, MATCH(Character[[#This Row],[NameHelper]], ImgDatabase!$E:$E, 0)), "")</f>
        <v>#VALUE!</v>
      </c>
      <c r="F58" s="29" t="e" vm="551">
        <f>IFERROR(INDEX(CharacterDetailsImg[Weapon Type], MATCH(Character[[#This Row],[NameHelper]], CharacterDetailsImg[Name], 0)), "")</f>
        <v>#VALUE!</v>
      </c>
      <c r="G58" s="53">
        <f>IFERROR(INDEX(CharacterDetailsImg[Released Version], MATCH(Character[[#This Row],[NameHelper]], CharacterDetailsImg[Name], 0)), "")</f>
        <v>2.1</v>
      </c>
      <c r="H58" s="108">
        <v>90</v>
      </c>
      <c r="I58" s="29">
        <v>1</v>
      </c>
      <c r="J58" s="29">
        <v>9</v>
      </c>
      <c r="K58" s="40">
        <v>10</v>
      </c>
      <c r="M58" s="108">
        <v>81</v>
      </c>
      <c r="N58" s="29">
        <v>1</v>
      </c>
      <c r="O58" s="29">
        <v>9</v>
      </c>
      <c r="P58" s="40">
        <v>9</v>
      </c>
      <c r="R58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58" s="108" t="e" vm="431">
        <f>IFERROR(INDEX(ImgDatabase!$I:$I, MATCH(Character[[#This Row],[NameHelper]], ImgDatabase!$E:$E, 0)), "")</f>
        <v>#VALUE!</v>
      </c>
      <c r="U58" s="40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0</v>
      </c>
      <c r="W58" s="64" t="e" vm="74">
        <f>IFERROR(INDEX(ImgDatabase!$K:$K, MATCH(Character[[#This Row],[NameHelper]], ImgDatabase!$E:$E, 0)), "")</f>
        <v>#VALUE!</v>
      </c>
      <c r="X58" s="28">
        <f t="shared" si="9"/>
        <v>0</v>
      </c>
      <c r="Y58" s="28">
        <f t="shared" si="10"/>
        <v>0</v>
      </c>
      <c r="Z58" s="72">
        <f t="shared" si="11"/>
        <v>0</v>
      </c>
      <c r="AA58" s="28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58" s="28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58" s="28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58" s="28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0</v>
      </c>
      <c r="AE58" s="28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0</v>
      </c>
      <c r="AF58" s="28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0</v>
      </c>
      <c r="AG58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H58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I58" s="72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K58" s="64" t="e" vm="361">
        <f>IFERROR(INDEX(ImgDatabase!$J:$J, MATCH(Character[[#This Row],[NameHelper]], ImgDatabase!$E:$E, 0)), "")</f>
        <v>#VALUE!</v>
      </c>
      <c r="AL58" s="72">
        <f>SUM(WeeklyBoss[[#This Row],[NA]:[Burst]])</f>
        <v>0</v>
      </c>
      <c r="AM58" s="2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58" s="2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58" s="40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58" s="108" t="e" vm="226">
        <f>IFERROR(INDEX(ImgDatabase!$M:$M, MATCH(Character[[#This Row],[NameHelper]], ImgDatabase!$E:$E, 0)), "")</f>
        <v>#VALUE!</v>
      </c>
      <c r="AR58" s="40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58" s="108" t="e" vm="97">
        <f>IFERROR(INDEX(ImgDatabase!$N:$N, MATCH(Character[[#This Row],[NameHelper]], ImgDatabase!$E:$E, 0)), "")</f>
        <v>#VALUE!</v>
      </c>
      <c r="AU58" s="2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58" s="2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58" s="2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58" s="2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58" s="29" t="e" vm="183">
        <f>IFERROR(INDEX(ImgDatabase!$L:$L, MATCH(Character[[#This Row],[NameHelper]], ImgDatabase!$E:$E, 0)), "")</f>
        <v>#VALUE!</v>
      </c>
      <c r="BA58" s="39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58" s="2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58" s="40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58" s="71">
        <f t="shared" si="12"/>
        <v>0</v>
      </c>
      <c r="BE58" s="28">
        <f t="shared" si="13"/>
        <v>0</v>
      </c>
      <c r="BF58" s="72">
        <f t="shared" si="14"/>
        <v>0</v>
      </c>
      <c r="BG58" s="71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58" s="2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58" s="2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58" s="2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58" s="2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58" s="2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58" s="2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58" s="2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58" s="72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58" s="91">
        <f t="shared" si="15"/>
        <v>0</v>
      </c>
      <c r="BQ58" s="34">
        <f t="shared" si="16"/>
        <v>0</v>
      </c>
      <c r="BR58" s="92">
        <f t="shared" si="17"/>
        <v>0</v>
      </c>
      <c r="BT58" s="100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58" s="35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58" s="35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58" s="35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58" s="101">
        <f>SUM(Table40[[#This Row],[Ascension
Cost]:[Talent Cost
(Burst)]])</f>
        <v>0</v>
      </c>
    </row>
    <row r="59" spans="1:76" ht="30" customHeight="1" x14ac:dyDescent="0.25">
      <c r="A59" s="52">
        <f>SUBTOTAL(3,$D$3:Character[[#This Row],[NameHelper]])</f>
        <v>57</v>
      </c>
      <c r="B59" s="31" t="e" vm="863">
        <f>IFERROR(INDEX(ImgDatabase!$D:$D, MATCH(Character[[#This Row],[NameHelper]], ImgDatabase!$E:$E, 0)), "")</f>
        <v>#VALUE!</v>
      </c>
      <c r="C59" s="30" t="s">
        <v>530</v>
      </c>
      <c r="D59" s="30" t="s">
        <v>530</v>
      </c>
      <c r="E59" s="29" t="e" vm="91">
        <f>IFERROR(INDEX(ImgDatabase!$G:$G, MATCH(Character[[#This Row],[NameHelper]], ImgDatabase!$E:$E, 0)), "")</f>
        <v>#VALUE!</v>
      </c>
      <c r="F59" s="29" t="e" vm="487">
        <f>IFERROR(INDEX(CharacterDetailsImg[Weapon Type], MATCH(Character[[#This Row],[NameHelper]], CharacterDetailsImg[Name], 0)), "")</f>
        <v>#VALUE!</v>
      </c>
      <c r="G59" s="53">
        <f>IFERROR(INDEX(CharacterDetailsImg[Released Version], MATCH(Character[[#This Row],[NameHelper]], CharacterDetailsImg[Name], 0)), "")</f>
        <v>1</v>
      </c>
      <c r="H59" s="108">
        <v>80</v>
      </c>
      <c r="I59" s="29">
        <v>8</v>
      </c>
      <c r="J59" s="29">
        <v>6</v>
      </c>
      <c r="K59" s="40">
        <v>8</v>
      </c>
      <c r="M59" s="108">
        <v>81</v>
      </c>
      <c r="N59" s="29">
        <v>1</v>
      </c>
      <c r="O59" s="29">
        <v>9</v>
      </c>
      <c r="P59" s="40">
        <v>9</v>
      </c>
      <c r="R59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10</v>
      </c>
      <c r="T59" s="108" t="e" vm="209">
        <f>IFERROR(INDEX(ImgDatabase!$I:$I, MATCH(Character[[#This Row],[NameHelper]], ImgDatabase!$E:$E, 0)), "")</f>
        <v>#VALUE!</v>
      </c>
      <c r="U59" s="61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20</v>
      </c>
      <c r="W59" s="64" t="e" vm="53">
        <f>IFERROR(INDEX(ImgDatabase!$K:$K, MATCH(Character[[#This Row],[NameHelper]], ImgDatabase!$E:$E, 0)), "")</f>
        <v>#VALUE!</v>
      </c>
      <c r="X59" s="26">
        <f t="shared" si="9"/>
        <v>34</v>
      </c>
      <c r="Y59" s="26">
        <f t="shared" si="10"/>
        <v>12</v>
      </c>
      <c r="Z59" s="73">
        <f t="shared" si="11"/>
        <v>12</v>
      </c>
      <c r="AA59" s="26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59" s="26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59" s="26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59" s="26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22</v>
      </c>
      <c r="AE59" s="26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0</v>
      </c>
      <c r="AF59" s="26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0</v>
      </c>
      <c r="AG59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12</v>
      </c>
      <c r="AH59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12</v>
      </c>
      <c r="AI59" s="73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12</v>
      </c>
      <c r="AK59" s="112" t="e" vm="536">
        <f>IFERROR(INDEX(ImgDatabase!$J:$J, MATCH(Character[[#This Row],[NameHelper]], ImgDatabase!$E:$E, 0)), "")</f>
        <v>#VALUE!</v>
      </c>
      <c r="AL59" s="73">
        <f>SUM(WeeklyBoss[[#This Row],[NA]:[Burst]])</f>
        <v>6</v>
      </c>
      <c r="AM59" s="27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59" s="27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59" s="61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2</v>
      </c>
      <c r="AQ59" s="107" t="e" vm="541">
        <f>IFERROR(INDEX(ImgDatabase!$M:$M, MATCH(Character[[#This Row],[NameHelper]], ImgDatabase!$E:$E, 0)), "")</f>
        <v>#VALUE!</v>
      </c>
      <c r="AR59" s="61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60</v>
      </c>
      <c r="AT59" s="107" t="e" vm="97">
        <f>IFERROR(INDEX(ImgDatabase!$N:$N, MATCH(Character[[#This Row],[NameHelper]], ImgDatabase!$E:$E, 0)), "")</f>
        <v>#VALUE!</v>
      </c>
      <c r="AU59" s="2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59" s="2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59" s="2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59" s="2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59" s="27" t="e" vm="133">
        <f>IFERROR(INDEX(ImgDatabase!$L:$L, MATCH(Character[[#This Row],[NameHelper]], ImgDatabase!$E:$E, 0)), "")</f>
        <v>#VALUE!</v>
      </c>
      <c r="BA59" s="8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24</v>
      </c>
      <c r="BB59" s="2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59" s="61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59" s="82">
        <f t="shared" si="12"/>
        <v>28</v>
      </c>
      <c r="BE59" s="26">
        <f t="shared" si="13"/>
        <v>0</v>
      </c>
      <c r="BF59" s="73">
        <f t="shared" si="14"/>
        <v>0</v>
      </c>
      <c r="BG59" s="82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59" s="26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59" s="26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59" s="26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59" s="26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59" s="26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59" s="26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9</v>
      </c>
      <c r="BN59" s="26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59" s="73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59" s="89">
        <f t="shared" si="15"/>
        <v>52</v>
      </c>
      <c r="BQ59" s="32">
        <f t="shared" si="16"/>
        <v>0</v>
      </c>
      <c r="BR59" s="90">
        <f t="shared" si="17"/>
        <v>0</v>
      </c>
      <c r="BT59" s="102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156635</v>
      </c>
      <c r="BU59" s="33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59" s="33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830000</v>
      </c>
      <c r="BW59" s="33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450000</v>
      </c>
      <c r="BX59" s="103">
        <f>SUM(Table40[[#This Row],[Ascension
Cost]:[Talent Cost
(Burst)]])</f>
        <v>1436635</v>
      </c>
    </row>
    <row r="60" spans="1:76" ht="30" customHeight="1" x14ac:dyDescent="0.25">
      <c r="A60" s="52">
        <f>SUBTOTAL(3,$D$3:Character[[#This Row],[NameHelper]])</f>
        <v>58</v>
      </c>
      <c r="B60" s="31" t="e" vm="864">
        <f>IFERROR(INDEX(ImgDatabase!$D:$D, MATCH(Character[[#This Row],[NameHelper]], ImgDatabase!$E:$E, 0)), "")</f>
        <v>#VALUE!</v>
      </c>
      <c r="C60" s="30" t="s">
        <v>590</v>
      </c>
      <c r="D60" s="30" t="s">
        <v>590</v>
      </c>
      <c r="E60" s="29" t="e" vm="164">
        <f>IFERROR(INDEX(ImgDatabase!$G:$G, MATCH(Character[[#This Row],[NameHelper]], ImgDatabase!$E:$E, 0)), "")</f>
        <v>#VALUE!</v>
      </c>
      <c r="F60" s="29" t="e" vm="551">
        <f>IFERROR(INDEX(CharacterDetailsImg[Weapon Type], MATCH(Character[[#This Row],[NameHelper]], CharacterDetailsImg[Name], 0)), "")</f>
        <v>#VALUE!</v>
      </c>
      <c r="G60" s="53">
        <f>IFERROR(INDEX(CharacterDetailsImg[Released Version], MATCH(Character[[#This Row],[NameHelper]], CharacterDetailsImg[Name], 0)), "")</f>
        <v>1.4</v>
      </c>
      <c r="H60" s="108">
        <v>21</v>
      </c>
      <c r="I60" s="29">
        <v>1</v>
      </c>
      <c r="J60" s="29">
        <v>1</v>
      </c>
      <c r="K60" s="40">
        <v>1</v>
      </c>
      <c r="M60" s="108">
        <v>81</v>
      </c>
      <c r="N60" s="29">
        <v>1</v>
      </c>
      <c r="O60" s="29">
        <v>9</v>
      </c>
      <c r="P60" s="40">
        <v>9</v>
      </c>
      <c r="R60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250</v>
      </c>
      <c r="T60" s="108" t="e" vm="165">
        <f>IFERROR(INDEX(ImgDatabase!$I:$I, MATCH(Character[[#This Row],[NameHelper]], ImgDatabase!$E:$E, 0)), "")</f>
        <v>#VALUE!</v>
      </c>
      <c r="U60" s="40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46</v>
      </c>
      <c r="W60" s="64" t="e" vm="9">
        <f>IFERROR(INDEX(ImgDatabase!$K:$K, MATCH(Character[[#This Row],[NameHelper]], ImgDatabase!$E:$E, 0)), "")</f>
        <v>#VALUE!</v>
      </c>
      <c r="X60" s="28">
        <f t="shared" si="9"/>
        <v>44</v>
      </c>
      <c r="Y60" s="28">
        <f t="shared" si="10"/>
        <v>43</v>
      </c>
      <c r="Z60" s="72">
        <f t="shared" si="11"/>
        <v>25</v>
      </c>
      <c r="AA60" s="28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60" s="28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60" s="28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60" s="28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22</v>
      </c>
      <c r="AE60" s="28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21</v>
      </c>
      <c r="AF60" s="28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3</v>
      </c>
      <c r="AG60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H60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I60" s="72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K60" s="64" t="e" vm="418">
        <f>IFERROR(INDEX(ImgDatabase!$J:$J, MATCH(Character[[#This Row],[NameHelper]], ImgDatabase!$E:$E, 0)), "")</f>
        <v>#VALUE!</v>
      </c>
      <c r="AL60" s="72">
        <f>SUM(WeeklyBoss[[#This Row],[NA]:[Burst]])</f>
        <v>8</v>
      </c>
      <c r="AM60" s="2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60" s="2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60" s="40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60" s="108" t="e" vm="537">
        <f>IFERROR(INDEX(ImgDatabase!$M:$M, MATCH(Character[[#This Row],[NameHelper]], ImgDatabase!$E:$E, 0)), "")</f>
        <v>#VALUE!</v>
      </c>
      <c r="AR60" s="40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T60" s="108" t="e" vm="168">
        <f>IFERROR(INDEX(ImgDatabase!$N:$N, MATCH(Character[[#This Row],[NameHelper]], ImgDatabase!$E:$E, 0)), "")</f>
        <v>#VALUE!</v>
      </c>
      <c r="AU60" s="2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60" s="2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W60" s="2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X60" s="2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60" s="29" t="e" vm="442">
        <f>IFERROR(INDEX(ImgDatabase!$L:$L, MATCH(Character[[#This Row],[NameHelper]], ImgDatabase!$E:$E, 0)), "")</f>
        <v>#VALUE!</v>
      </c>
      <c r="BA60" s="39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BB60" s="2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BC60" s="40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BD60" s="71">
        <f t="shared" si="12"/>
        <v>38</v>
      </c>
      <c r="BE60" s="28">
        <f t="shared" si="13"/>
        <v>44</v>
      </c>
      <c r="BF60" s="72">
        <f t="shared" si="14"/>
        <v>12</v>
      </c>
      <c r="BG60" s="71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60" s="2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60" s="2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60" s="2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60" s="2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60" s="2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60" s="2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60" s="2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60" s="72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60" s="91">
        <f t="shared" si="15"/>
        <v>74</v>
      </c>
      <c r="BQ60" s="34">
        <f t="shared" si="16"/>
        <v>74</v>
      </c>
      <c r="BR60" s="92">
        <f t="shared" si="17"/>
        <v>27</v>
      </c>
      <c r="BT60" s="100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1397530</v>
      </c>
      <c r="BU60" s="35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60" s="35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60" s="35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60" s="101">
        <f>SUM(Table40[[#This Row],[Ascension
Cost]:[Talent Cost
(Burst)]])</f>
        <v>3302530</v>
      </c>
    </row>
    <row r="61" spans="1:76" ht="30" customHeight="1" x14ac:dyDescent="0.25">
      <c r="A61" s="52">
        <f>SUBTOTAL(3,$D$3:Character[[#This Row],[NameHelper]])</f>
        <v>59</v>
      </c>
      <c r="B61" s="31" t="e" vm="865">
        <f>IFERROR(INDEX(ImgDatabase!$D:$D, MATCH(Character[[#This Row],[NameHelper]], ImgDatabase!$E:$E, 0)), "")</f>
        <v>#VALUE!</v>
      </c>
      <c r="C61" s="30" t="s">
        <v>752</v>
      </c>
      <c r="D61" s="30" t="s">
        <v>562</v>
      </c>
      <c r="E61" s="29" t="e" vm="112">
        <f>IFERROR(INDEX(ImgDatabase!$G:$G, MATCH(Character[[#This Row],[NameHelper]], ImgDatabase!$E:$E, 0)), "")</f>
        <v>#VALUE!</v>
      </c>
      <c r="F61" s="29" t="e" vm="557">
        <f>IFERROR(INDEX(CharacterDetailsImg[Weapon Type], MATCH(Character[[#This Row],[NameHelper]], CharacterDetailsImg[Name], 0)), "")</f>
        <v>#VALUE!</v>
      </c>
      <c r="G61" s="53">
        <f>IFERROR(INDEX(CharacterDetailsImg[Released Version], MATCH(Character[[#This Row],[NameHelper]], CharacterDetailsImg[Name], 0)), "")</f>
        <v>2.1</v>
      </c>
      <c r="H61" s="108">
        <v>90</v>
      </c>
      <c r="I61" s="29">
        <v>1</v>
      </c>
      <c r="J61" s="29">
        <v>9</v>
      </c>
      <c r="K61" s="40">
        <v>9</v>
      </c>
      <c r="M61" s="108">
        <v>81</v>
      </c>
      <c r="N61" s="29">
        <v>1</v>
      </c>
      <c r="O61" s="29">
        <v>9</v>
      </c>
      <c r="P61" s="40">
        <v>9</v>
      </c>
      <c r="R61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61" s="108" t="e" vm="196">
        <f>IFERROR(INDEX(ImgDatabase!$I:$I, MATCH(Character[[#This Row],[NameHelper]], ImgDatabase!$E:$E, 0)), "")</f>
        <v>#VALUE!</v>
      </c>
      <c r="U61" s="61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0</v>
      </c>
      <c r="W61" s="64" t="e" vm="225">
        <f>IFERROR(INDEX(ImgDatabase!$K:$K, MATCH(Character[[#This Row],[NameHelper]], ImgDatabase!$E:$E, 0)), "")</f>
        <v>#VALUE!</v>
      </c>
      <c r="X61" s="26">
        <f t="shared" si="9"/>
        <v>0</v>
      </c>
      <c r="Y61" s="26">
        <f t="shared" si="10"/>
        <v>0</v>
      </c>
      <c r="Z61" s="73">
        <f t="shared" si="11"/>
        <v>0</v>
      </c>
      <c r="AA61" s="26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61" s="26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61" s="26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61" s="26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0</v>
      </c>
      <c r="AE61" s="26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0</v>
      </c>
      <c r="AF61" s="26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0</v>
      </c>
      <c r="AG61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H61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I61" s="73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K61" s="112" t="e" vm="582">
        <f>IFERROR(INDEX(ImgDatabase!$J:$J, MATCH(Character[[#This Row],[NameHelper]], ImgDatabase!$E:$E, 0)), "")</f>
        <v>#VALUE!</v>
      </c>
      <c r="AL61" s="73">
        <f>SUM(WeeklyBoss[[#This Row],[NA]:[Burst]])</f>
        <v>0</v>
      </c>
      <c r="AM61" s="27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61" s="27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61" s="61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61" s="107" t="e" vm="425">
        <f>IFERROR(INDEX(ImgDatabase!$M:$M, MATCH(Character[[#This Row],[NameHelper]], ImgDatabase!$E:$E, 0)), "")</f>
        <v>#VALUE!</v>
      </c>
      <c r="AR61" s="61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61" s="107" t="e" vm="117">
        <f>IFERROR(INDEX(ImgDatabase!$N:$N, MATCH(Character[[#This Row],[NameHelper]], ImgDatabase!$E:$E, 0)), "")</f>
        <v>#VALUE!</v>
      </c>
      <c r="AU61" s="2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61" s="2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61" s="2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61" s="2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61" s="27" t="e" vm="75">
        <f>IFERROR(INDEX(ImgDatabase!$L:$L, MATCH(Character[[#This Row],[NameHelper]], ImgDatabase!$E:$E, 0)), "")</f>
        <v>#VALUE!</v>
      </c>
      <c r="BA61" s="8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61" s="2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61" s="61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61" s="82">
        <f t="shared" si="12"/>
        <v>0</v>
      </c>
      <c r="BE61" s="26">
        <f t="shared" si="13"/>
        <v>0</v>
      </c>
      <c r="BF61" s="73">
        <f t="shared" si="14"/>
        <v>0</v>
      </c>
      <c r="BG61" s="82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61" s="26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61" s="26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61" s="26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61" s="26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61" s="26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61" s="26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61" s="26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61" s="73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61" s="89">
        <f t="shared" si="15"/>
        <v>0</v>
      </c>
      <c r="BQ61" s="32">
        <f t="shared" si="16"/>
        <v>0</v>
      </c>
      <c r="BR61" s="90">
        <f t="shared" si="17"/>
        <v>0</v>
      </c>
      <c r="BT61" s="102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61" s="33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61" s="33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61" s="33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61" s="103">
        <f>SUM(Table40[[#This Row],[Ascension
Cost]:[Talent Cost
(Burst)]])</f>
        <v>0</v>
      </c>
    </row>
    <row r="62" spans="1:76" ht="30" customHeight="1" x14ac:dyDescent="0.25">
      <c r="A62" s="52">
        <f>SUBTOTAL(3,$D$3:Character[[#This Row],[NameHelper]])</f>
        <v>60</v>
      </c>
      <c r="B62" s="31" t="e" vm="866">
        <f>IFERROR(INDEX(ImgDatabase!$D:$D, MATCH(Character[[#This Row],[NameHelper]], ImgDatabase!$E:$E, 0)), "")</f>
        <v>#VALUE!</v>
      </c>
      <c r="C62" s="30" t="s">
        <v>533</v>
      </c>
      <c r="D62" s="30" t="s">
        <v>533</v>
      </c>
      <c r="E62" s="29" t="e" vm="131">
        <f>IFERROR(INDEX(ImgDatabase!$G:$G, MATCH(Character[[#This Row],[NameHelper]], ImgDatabase!$E:$E, 0)), "")</f>
        <v>#VALUE!</v>
      </c>
      <c r="F62" s="29" t="e" vm="487">
        <f>IFERROR(INDEX(CharacterDetailsImg[Weapon Type], MATCH(Character[[#This Row],[NameHelper]], CharacterDetailsImg[Name], 0)), "")</f>
        <v>#VALUE!</v>
      </c>
      <c r="G62" s="53">
        <f>IFERROR(INDEX(CharacterDetailsImg[Released Version], MATCH(Character[[#This Row],[NameHelper]], CharacterDetailsImg[Name], 0)), "")</f>
        <v>2</v>
      </c>
      <c r="H62" s="108">
        <v>22</v>
      </c>
      <c r="I62" s="29">
        <v>1</v>
      </c>
      <c r="J62" s="29">
        <v>1</v>
      </c>
      <c r="K62" s="40">
        <v>1</v>
      </c>
      <c r="M62" s="108">
        <v>81</v>
      </c>
      <c r="N62" s="29">
        <v>1</v>
      </c>
      <c r="O62" s="29">
        <v>9</v>
      </c>
      <c r="P62" s="40">
        <v>9</v>
      </c>
      <c r="R62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249</v>
      </c>
      <c r="T62" s="108" t="e" vm="149">
        <f>IFERROR(INDEX(ImgDatabase!$I:$I, MATCH(Character[[#This Row],[NameHelper]], ImgDatabase!$E:$E, 0)), "")</f>
        <v>#VALUE!</v>
      </c>
      <c r="U62" s="40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46</v>
      </c>
      <c r="W62" s="64" t="e" vm="74">
        <f>IFERROR(INDEX(ImgDatabase!$K:$K, MATCH(Character[[#This Row],[NameHelper]], ImgDatabase!$E:$E, 0)), "")</f>
        <v>#VALUE!</v>
      </c>
      <c r="X62" s="28">
        <f t="shared" si="9"/>
        <v>44</v>
      </c>
      <c r="Y62" s="28">
        <f t="shared" si="10"/>
        <v>43</v>
      </c>
      <c r="Z62" s="72">
        <f t="shared" si="11"/>
        <v>25</v>
      </c>
      <c r="AA62" s="28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62" s="28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62" s="28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62" s="28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22</v>
      </c>
      <c r="AE62" s="28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21</v>
      </c>
      <c r="AF62" s="28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3</v>
      </c>
      <c r="AG62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H62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I62" s="72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K62" s="64" t="e" vm="150">
        <f>IFERROR(INDEX(ImgDatabase!$J:$J, MATCH(Character[[#This Row],[NameHelper]], ImgDatabase!$E:$E, 0)), "")</f>
        <v>#VALUE!</v>
      </c>
      <c r="AL62" s="72">
        <f>SUM(WeeklyBoss[[#This Row],[NA]:[Burst]])</f>
        <v>8</v>
      </c>
      <c r="AM62" s="2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62" s="2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62" s="40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62" s="108" t="e" vm="363">
        <f>IFERROR(INDEX(ImgDatabase!$M:$M, MATCH(Character[[#This Row],[NameHelper]], ImgDatabase!$E:$E, 0)), "")</f>
        <v>#VALUE!</v>
      </c>
      <c r="AR62" s="40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T62" s="108" t="e" vm="135">
        <f>IFERROR(INDEX(ImgDatabase!$N:$N, MATCH(Character[[#This Row],[NameHelper]], ImgDatabase!$E:$E, 0)), "")</f>
        <v>#VALUE!</v>
      </c>
      <c r="AU62" s="2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62" s="2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W62" s="2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X62" s="2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62" s="29" t="e" vm="115">
        <f>IFERROR(INDEX(ImgDatabase!$L:$L, MATCH(Character[[#This Row],[NameHelper]], ImgDatabase!$E:$E, 0)), "")</f>
        <v>#VALUE!</v>
      </c>
      <c r="BA62" s="39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BB62" s="2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BC62" s="40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BD62" s="71">
        <f t="shared" si="12"/>
        <v>38</v>
      </c>
      <c r="BE62" s="28">
        <f t="shared" si="13"/>
        <v>44</v>
      </c>
      <c r="BF62" s="72">
        <f t="shared" si="14"/>
        <v>12</v>
      </c>
      <c r="BG62" s="71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62" s="2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62" s="2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62" s="2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62" s="2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62" s="2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62" s="2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62" s="2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62" s="72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62" s="91">
        <f t="shared" si="15"/>
        <v>74</v>
      </c>
      <c r="BQ62" s="34">
        <f t="shared" si="16"/>
        <v>74</v>
      </c>
      <c r="BR62" s="92">
        <f t="shared" si="17"/>
        <v>27</v>
      </c>
      <c r="BT62" s="100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1394170</v>
      </c>
      <c r="BU62" s="35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62" s="35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62" s="35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62" s="101">
        <f>SUM(Table40[[#This Row],[Ascension
Cost]:[Talent Cost
(Burst)]])</f>
        <v>3299170</v>
      </c>
    </row>
    <row r="63" spans="1:76" ht="30" customHeight="1" x14ac:dyDescent="0.25">
      <c r="A63" s="52">
        <f>SUBTOTAL(3,$D$3:Character[[#This Row],[NameHelper]])</f>
        <v>61</v>
      </c>
      <c r="B63" s="31" t="e" vm="867">
        <f>IFERROR(INDEX(ImgDatabase!$D:$D, MATCH(Character[[#This Row],[NameHelper]], ImgDatabase!$E:$E, 0)), "")</f>
        <v>#VALUE!</v>
      </c>
      <c r="C63" s="30" t="s">
        <v>25</v>
      </c>
      <c r="D63" s="30" t="s">
        <v>25</v>
      </c>
      <c r="E63" s="29" t="e" vm="91">
        <f>IFERROR(INDEX(ImgDatabase!$G:$G, MATCH(Character[[#This Row],[NameHelper]], ImgDatabase!$E:$E, 0)), "")</f>
        <v>#VALUE!</v>
      </c>
      <c r="F63" s="29" t="e" vm="359">
        <f>IFERROR(INDEX(CharacterDetailsImg[Weapon Type], MATCH(Character[[#This Row],[NameHelper]], CharacterDetailsImg[Name], 0)), "")</f>
        <v>#VALUE!</v>
      </c>
      <c r="G63" s="53">
        <f>IFERROR(INDEX(CharacterDetailsImg[Released Version], MATCH(Character[[#This Row],[NameHelper]], CharacterDetailsImg[Name], 0)), "")</f>
        <v>4.8</v>
      </c>
      <c r="H63" s="108">
        <v>0</v>
      </c>
      <c r="I63" s="29">
        <v>0</v>
      </c>
      <c r="J63" s="29">
        <v>0</v>
      </c>
      <c r="K63" s="40">
        <v>0</v>
      </c>
      <c r="M63" s="108">
        <v>81</v>
      </c>
      <c r="N63" s="29">
        <v>1</v>
      </c>
      <c r="O63" s="29">
        <v>9</v>
      </c>
      <c r="P63" s="40">
        <v>9</v>
      </c>
      <c r="R63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63" s="108" t="e" vm="449">
        <f>IFERROR(INDEX(ImgDatabase!$I:$I, MATCH(Character[[#This Row],[NameHelper]], ImgDatabase!$E:$E, 0)), "")</f>
        <v>#VALUE!</v>
      </c>
      <c r="U63" s="61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0</v>
      </c>
      <c r="W63" s="64" t="e" vm="270">
        <f>IFERROR(INDEX(ImgDatabase!$K:$K, MATCH(Character[[#This Row],[NameHelper]], ImgDatabase!$E:$E, 0)), "")</f>
        <v>#VALUE!</v>
      </c>
      <c r="X63" s="26">
        <f t="shared" si="9"/>
        <v>0</v>
      </c>
      <c r="Y63" s="26">
        <f t="shared" si="10"/>
        <v>0</v>
      </c>
      <c r="Z63" s="73">
        <f t="shared" si="11"/>
        <v>0</v>
      </c>
      <c r="AA63" s="26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63" s="26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63" s="26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63" s="26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0</v>
      </c>
      <c r="AE63" s="26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0</v>
      </c>
      <c r="AF63" s="26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0</v>
      </c>
      <c r="AG63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H63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I63" s="73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K63" s="112" t="e" vm="450">
        <f>IFERROR(INDEX(ImgDatabase!$J:$J, MATCH(Character[[#This Row],[NameHelper]], ImgDatabase!$E:$E, 0)), "")</f>
        <v>#VALUE!</v>
      </c>
      <c r="AL63" s="73">
        <f>SUM(WeeklyBoss[[#This Row],[NA]:[Burst]])</f>
        <v>0</v>
      </c>
      <c r="AM63" s="27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63" s="27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63" s="61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63" s="107" t="e" vm="451">
        <f>IFERROR(INDEX(ImgDatabase!$M:$M, MATCH(Character[[#This Row],[NameHelper]], ImgDatabase!$E:$E, 0)), "")</f>
        <v>#VALUE!</v>
      </c>
      <c r="AR63" s="61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63" s="107" t="e" vm="97">
        <f>IFERROR(INDEX(ImgDatabase!$N:$N, MATCH(Character[[#This Row],[NameHelper]], ImgDatabase!$E:$E, 0)), "")</f>
        <v>#VALUE!</v>
      </c>
      <c r="AU63" s="2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63" s="2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63" s="2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63" s="2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63" s="27" t="e" vm="32">
        <f>IFERROR(INDEX(ImgDatabase!$L:$L, MATCH(Character[[#This Row],[NameHelper]], ImgDatabase!$E:$E, 0)), "")</f>
        <v>#VALUE!</v>
      </c>
      <c r="BA63" s="8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63" s="2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63" s="61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63" s="82">
        <f t="shared" si="12"/>
        <v>0</v>
      </c>
      <c r="BE63" s="26">
        <f t="shared" si="13"/>
        <v>0</v>
      </c>
      <c r="BF63" s="73">
        <f t="shared" si="14"/>
        <v>0</v>
      </c>
      <c r="BG63" s="82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63" s="26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63" s="26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63" s="26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63" s="26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63" s="26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63" s="26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63" s="26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63" s="73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63" s="89">
        <f t="shared" si="15"/>
        <v>0</v>
      </c>
      <c r="BQ63" s="32">
        <f t="shared" si="16"/>
        <v>0</v>
      </c>
      <c r="BR63" s="90">
        <f t="shared" si="17"/>
        <v>0</v>
      </c>
      <c r="BT63" s="102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63" s="33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63" s="33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63" s="33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63" s="103">
        <f>SUM(Table40[[#This Row],[Ascension
Cost]:[Talent Cost
(Burst)]])</f>
        <v>0</v>
      </c>
    </row>
    <row r="64" spans="1:76" ht="30" customHeight="1" x14ac:dyDescent="0.25">
      <c r="A64" s="52">
        <f>SUBTOTAL(3,$D$3:Character[[#This Row],[NameHelper]])</f>
        <v>62</v>
      </c>
      <c r="B64" s="31" t="e" vm="868">
        <f>IFERROR(INDEX(ImgDatabase!$D:$D, MATCH(Character[[#This Row],[NameHelper]], ImgDatabase!$E:$E, 0)), "")</f>
        <v>#VALUE!</v>
      </c>
      <c r="C64" s="30" t="s">
        <v>592</v>
      </c>
      <c r="D64" s="30" t="s">
        <v>592</v>
      </c>
      <c r="E64" s="29" t="e" vm="164">
        <f>IFERROR(INDEX(ImgDatabase!$G:$G, MATCH(Character[[#This Row],[NameHelper]], ImgDatabase!$E:$E, 0)), "")</f>
        <v>#VALUE!</v>
      </c>
      <c r="F64" s="29" t="e" vm="551">
        <f>IFERROR(INDEX(CharacterDetailsImg[Weapon Type], MATCH(Character[[#This Row],[NameHelper]], CharacterDetailsImg[Name], 0)), "")</f>
        <v>#VALUE!</v>
      </c>
      <c r="G64" s="53">
        <f>IFERROR(INDEX(CharacterDetailsImg[Released Version], MATCH(Character[[#This Row],[NameHelper]], CharacterDetailsImg[Name], 0)), "")</f>
        <v>2.4</v>
      </c>
      <c r="H64" s="108">
        <v>90</v>
      </c>
      <c r="I64" s="29">
        <v>1</v>
      </c>
      <c r="J64" s="29">
        <v>10</v>
      </c>
      <c r="K64" s="40">
        <v>9</v>
      </c>
      <c r="M64" s="108">
        <v>81</v>
      </c>
      <c r="N64" s="29">
        <v>1</v>
      </c>
      <c r="O64" s="29">
        <v>9</v>
      </c>
      <c r="P64" s="40">
        <v>9</v>
      </c>
      <c r="R64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64" s="108" t="e" vm="598">
        <f>IFERROR(INDEX(ImgDatabase!$I:$I, MATCH(Character[[#This Row],[NameHelper]], ImgDatabase!$E:$E, 0)), "")</f>
        <v>#VALUE!</v>
      </c>
      <c r="U64" s="40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0</v>
      </c>
      <c r="W64" s="64" t="e" vm="211">
        <f>IFERROR(INDEX(ImgDatabase!$K:$K, MATCH(Character[[#This Row],[NameHelper]], ImgDatabase!$E:$E, 0)), "")</f>
        <v>#VALUE!</v>
      </c>
      <c r="X64" s="28">
        <f t="shared" si="9"/>
        <v>0</v>
      </c>
      <c r="Y64" s="28">
        <f t="shared" si="10"/>
        <v>0</v>
      </c>
      <c r="Z64" s="72">
        <f t="shared" si="11"/>
        <v>0</v>
      </c>
      <c r="AA64" s="28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64" s="28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64" s="28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64" s="28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0</v>
      </c>
      <c r="AE64" s="28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0</v>
      </c>
      <c r="AF64" s="28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0</v>
      </c>
      <c r="AG64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H64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I64" s="72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K64" s="64" t="e" vm="582">
        <f>IFERROR(INDEX(ImgDatabase!$J:$J, MATCH(Character[[#This Row],[NameHelper]], ImgDatabase!$E:$E, 0)), "")</f>
        <v>#VALUE!</v>
      </c>
      <c r="AL64" s="72">
        <f>SUM(WeeklyBoss[[#This Row],[NA]:[Burst]])</f>
        <v>0</v>
      </c>
      <c r="AM64" s="2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64" s="2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64" s="40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64" s="108" t="e" vm="419">
        <f>IFERROR(INDEX(ImgDatabase!$M:$M, MATCH(Character[[#This Row],[NameHelper]], ImgDatabase!$E:$E, 0)), "")</f>
        <v>#VALUE!</v>
      </c>
      <c r="AR64" s="40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64" s="108" t="e" vm="168">
        <f>IFERROR(INDEX(ImgDatabase!$N:$N, MATCH(Character[[#This Row],[NameHelper]], ImgDatabase!$E:$E, 0)), "")</f>
        <v>#VALUE!</v>
      </c>
      <c r="AU64" s="2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64" s="2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64" s="2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64" s="2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64" s="29" t="e" vm="115">
        <f>IFERROR(INDEX(ImgDatabase!$L:$L, MATCH(Character[[#This Row],[NameHelper]], ImgDatabase!$E:$E, 0)), "")</f>
        <v>#VALUE!</v>
      </c>
      <c r="BA64" s="39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64" s="2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64" s="40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64" s="71">
        <f t="shared" si="12"/>
        <v>0</v>
      </c>
      <c r="BE64" s="28">
        <f t="shared" si="13"/>
        <v>0</v>
      </c>
      <c r="BF64" s="72">
        <f t="shared" si="14"/>
        <v>0</v>
      </c>
      <c r="BG64" s="71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64" s="2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64" s="2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64" s="2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64" s="2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64" s="2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64" s="2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64" s="2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64" s="72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64" s="91">
        <f t="shared" si="15"/>
        <v>0</v>
      </c>
      <c r="BQ64" s="34">
        <f t="shared" si="16"/>
        <v>0</v>
      </c>
      <c r="BR64" s="92">
        <f t="shared" si="17"/>
        <v>0</v>
      </c>
      <c r="BT64" s="100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64" s="35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64" s="35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64" s="35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64" s="101">
        <f>SUM(Table40[[#This Row],[Ascension
Cost]:[Talent Cost
(Burst)]])</f>
        <v>0</v>
      </c>
    </row>
    <row r="65" spans="1:76" ht="30" customHeight="1" x14ac:dyDescent="0.25">
      <c r="A65" s="52">
        <f>SUBTOTAL(3,$D$3:Character[[#This Row],[NameHelper]])</f>
        <v>63</v>
      </c>
      <c r="B65" s="31" t="e" vm="869">
        <f>IFERROR(INDEX(ImgDatabase!$D:$D, MATCH(Character[[#This Row],[NameHelper]], ImgDatabase!$E:$E, 0)), "")</f>
        <v>#VALUE!</v>
      </c>
      <c r="C65" s="30" t="s">
        <v>753</v>
      </c>
      <c r="D65" s="30" t="s">
        <v>564</v>
      </c>
      <c r="E65" s="29" t="e" vm="131">
        <f>IFERROR(INDEX(ImgDatabase!$G:$G, MATCH(Character[[#This Row],[NameHelper]], ImgDatabase!$E:$E, 0)), "")</f>
        <v>#VALUE!</v>
      </c>
      <c r="F65" s="29" t="e" vm="557">
        <f>IFERROR(INDEX(CharacterDetailsImg[Weapon Type], MATCH(Character[[#This Row],[NameHelper]], CharacterDetailsImg[Name], 0)), "")</f>
        <v>#VALUE!</v>
      </c>
      <c r="G65" s="53">
        <f>IFERROR(INDEX(CharacterDetailsImg[Released Version], MATCH(Character[[#This Row],[NameHelper]], CharacterDetailsImg[Name], 0)), "")</f>
        <v>2.8</v>
      </c>
      <c r="H65" s="108">
        <v>60</v>
      </c>
      <c r="I65" s="29">
        <v>1</v>
      </c>
      <c r="J65" s="29">
        <v>1</v>
      </c>
      <c r="K65" s="40">
        <v>1</v>
      </c>
      <c r="M65" s="108">
        <v>81</v>
      </c>
      <c r="N65" s="29">
        <v>1</v>
      </c>
      <c r="O65" s="29">
        <v>9</v>
      </c>
      <c r="P65" s="40">
        <v>9</v>
      </c>
      <c r="R65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150</v>
      </c>
      <c r="T65" s="108" t="e" vm="238">
        <f>IFERROR(INDEX(ImgDatabase!$I:$I, MATCH(Character[[#This Row],[NameHelper]], ImgDatabase!$E:$E, 0)), "")</f>
        <v>#VALUE!</v>
      </c>
      <c r="U65" s="61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40</v>
      </c>
      <c r="W65" s="64" t="e" vm="225">
        <f>IFERROR(INDEX(ImgDatabase!$K:$K, MATCH(Character[[#This Row],[NameHelper]], ImgDatabase!$E:$E, 0)), "")</f>
        <v>#VALUE!</v>
      </c>
      <c r="X65" s="26">
        <f t="shared" si="9"/>
        <v>44</v>
      </c>
      <c r="Y65" s="26">
        <f t="shared" si="10"/>
        <v>43</v>
      </c>
      <c r="Z65" s="73">
        <f t="shared" si="11"/>
        <v>25</v>
      </c>
      <c r="AA65" s="26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65" s="26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65" s="26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65" s="26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22</v>
      </c>
      <c r="AE65" s="26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21</v>
      </c>
      <c r="AF65" s="26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3</v>
      </c>
      <c r="AG65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H65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I65" s="73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K65" s="112" t="e" vm="463">
        <f>IFERROR(INDEX(ImgDatabase!$J:$J, MATCH(Character[[#This Row],[NameHelper]], ImgDatabase!$E:$E, 0)), "")</f>
        <v>#VALUE!</v>
      </c>
      <c r="AL65" s="73">
        <f>SUM(WeeklyBoss[[#This Row],[NA]:[Burst]])</f>
        <v>8</v>
      </c>
      <c r="AM65" s="27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65" s="27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65" s="61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65" s="107" t="e" vm="489">
        <f>IFERROR(INDEX(ImgDatabase!$M:$M, MATCH(Character[[#This Row],[NameHelper]], ImgDatabase!$E:$E, 0)), "")</f>
        <v>#VALUE!</v>
      </c>
      <c r="AR65" s="61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135</v>
      </c>
      <c r="AT65" s="107" t="e" vm="135">
        <f>IFERROR(INDEX(ImgDatabase!$N:$N, MATCH(Character[[#This Row],[NameHelper]], ImgDatabase!$E:$E, 0)), "")</f>
        <v>#VALUE!</v>
      </c>
      <c r="AU65" s="2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65" s="2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W65" s="2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65" s="2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65" s="27" t="e" vm="54">
        <f>IFERROR(INDEX(ImgDatabase!$L:$L, MATCH(Character[[#This Row],[NameHelper]], ImgDatabase!$E:$E, 0)), "")</f>
        <v>#VALUE!</v>
      </c>
      <c r="BA65" s="8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BB65" s="2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18</v>
      </c>
      <c r="BC65" s="61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65" s="82">
        <f t="shared" si="12"/>
        <v>38</v>
      </c>
      <c r="BE65" s="26">
        <f t="shared" si="13"/>
        <v>44</v>
      </c>
      <c r="BF65" s="73">
        <f t="shared" si="14"/>
        <v>12</v>
      </c>
      <c r="BG65" s="82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65" s="26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65" s="26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65" s="26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65" s="26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65" s="26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65" s="26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65" s="26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65" s="73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65" s="89">
        <f t="shared" si="15"/>
        <v>74</v>
      </c>
      <c r="BQ65" s="32">
        <f t="shared" si="16"/>
        <v>62</v>
      </c>
      <c r="BR65" s="90">
        <f t="shared" si="17"/>
        <v>12</v>
      </c>
      <c r="BT65" s="102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898195</v>
      </c>
      <c r="BU65" s="33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65" s="33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65" s="33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65" s="103">
        <f>SUM(Table40[[#This Row],[Ascension
Cost]:[Talent Cost
(Burst)]])</f>
        <v>2803195</v>
      </c>
    </row>
    <row r="66" spans="1:76" ht="30" customHeight="1" x14ac:dyDescent="0.25">
      <c r="A66" s="52">
        <f>SUBTOTAL(3,$D$3:Character[[#This Row],[NameHelper]])</f>
        <v>64</v>
      </c>
      <c r="B66" s="31" t="e" vm="870">
        <f>IFERROR(INDEX(ImgDatabase!$D:$D, MATCH(Character[[#This Row],[NameHelper]], ImgDatabase!$E:$E, 0)), "")</f>
        <v>#VALUE!</v>
      </c>
      <c r="C66" s="30" t="s">
        <v>566</v>
      </c>
      <c r="D66" s="30" t="s">
        <v>566</v>
      </c>
      <c r="E66" s="29" t="e" vm="131">
        <f>IFERROR(INDEX(ImgDatabase!$G:$G, MATCH(Character[[#This Row],[NameHelper]], ImgDatabase!$E:$E, 0)), "")</f>
        <v>#VALUE!</v>
      </c>
      <c r="F66" s="29" t="e" vm="557">
        <f>IFERROR(INDEX(CharacterDetailsImg[Weapon Type], MATCH(Character[[#This Row],[NameHelper]], CharacterDetailsImg[Name], 0)), "")</f>
        <v>#VALUE!</v>
      </c>
      <c r="G66" s="53">
        <f>IFERROR(INDEX(CharacterDetailsImg[Released Version], MATCH(Character[[#This Row],[NameHelper]], CharacterDetailsImg[Name], 0)), "")</f>
        <v>1</v>
      </c>
      <c r="H66" s="108">
        <v>81</v>
      </c>
      <c r="I66" s="29">
        <v>1</v>
      </c>
      <c r="J66" s="29">
        <v>8</v>
      </c>
      <c r="K66" s="40">
        <v>9</v>
      </c>
      <c r="M66" s="108">
        <v>81</v>
      </c>
      <c r="N66" s="29">
        <v>1</v>
      </c>
      <c r="O66" s="29">
        <v>9</v>
      </c>
      <c r="P66" s="40">
        <v>9</v>
      </c>
      <c r="R66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66" s="108" t="e" vm="132">
        <f>IFERROR(INDEX(ImgDatabase!$I:$I, MATCH(Character[[#This Row],[NameHelper]], ImgDatabase!$E:$E, 0)), "")</f>
        <v>#VALUE!</v>
      </c>
      <c r="U66" s="40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0</v>
      </c>
      <c r="W66" s="64" t="e" vm="362">
        <f>IFERROR(INDEX(ImgDatabase!$K:$K, MATCH(Character[[#This Row],[NameHelper]], ImgDatabase!$E:$E, 0)), "")</f>
        <v>#VALUE!</v>
      </c>
      <c r="X66" s="28">
        <f t="shared" si="9"/>
        <v>12</v>
      </c>
      <c r="Y66" s="28">
        <f t="shared" si="10"/>
        <v>0</v>
      </c>
      <c r="Z66" s="72">
        <f t="shared" si="11"/>
        <v>0</v>
      </c>
      <c r="AA66" s="28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66" s="28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66" s="28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66" s="28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12</v>
      </c>
      <c r="AE66" s="28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0</v>
      </c>
      <c r="AF66" s="28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0</v>
      </c>
      <c r="AG66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H66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I66" s="72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K66" s="64" t="e" vm="166">
        <f>IFERROR(INDEX(ImgDatabase!$J:$J, MATCH(Character[[#This Row],[NameHelper]], ImgDatabase!$E:$E, 0)), "")</f>
        <v>#VALUE!</v>
      </c>
      <c r="AL66" s="72">
        <f>SUM(WeeklyBoss[[#This Row],[NA]:[Burst]])</f>
        <v>2</v>
      </c>
      <c r="AM66" s="2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66" s="2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2</v>
      </c>
      <c r="AO66" s="40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66" s="108" t="e" vm="55">
        <f>IFERROR(INDEX(ImgDatabase!$M:$M, MATCH(Character[[#This Row],[NameHelper]], ImgDatabase!$E:$E, 0)), "")</f>
        <v>#VALUE!</v>
      </c>
      <c r="AR66" s="40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66" s="108" t="e" vm="135">
        <f>IFERROR(INDEX(ImgDatabase!$N:$N, MATCH(Character[[#This Row],[NameHelper]], ImgDatabase!$E:$E, 0)), "")</f>
        <v>#VALUE!</v>
      </c>
      <c r="AU66" s="2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66" s="2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66" s="2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66" s="2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66" s="29" t="e" vm="115">
        <f>IFERROR(INDEX(ImgDatabase!$L:$L, MATCH(Character[[#This Row],[NameHelper]], ImgDatabase!$E:$E, 0)), "")</f>
        <v>#VALUE!</v>
      </c>
      <c r="BA66" s="39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66" s="2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66" s="40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66" s="71">
        <f t="shared" si="12"/>
        <v>9</v>
      </c>
      <c r="BE66" s="28">
        <f t="shared" si="13"/>
        <v>0</v>
      </c>
      <c r="BF66" s="72">
        <f t="shared" si="14"/>
        <v>0</v>
      </c>
      <c r="BG66" s="71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66" s="2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66" s="2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66" s="2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9</v>
      </c>
      <c r="BK66" s="2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66" s="2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66" s="2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66" s="2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66" s="72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66" s="91">
        <f t="shared" si="15"/>
        <v>9</v>
      </c>
      <c r="BQ66" s="34">
        <f t="shared" si="16"/>
        <v>0</v>
      </c>
      <c r="BR66" s="92">
        <f t="shared" si="17"/>
        <v>0</v>
      </c>
      <c r="BT66" s="100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66" s="35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66" s="35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450000</v>
      </c>
      <c r="BW66" s="35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66" s="101">
        <f>SUM(Table40[[#This Row],[Ascension
Cost]:[Talent Cost
(Burst)]])</f>
        <v>450000</v>
      </c>
    </row>
    <row r="67" spans="1:76" ht="30" customHeight="1" x14ac:dyDescent="0.25">
      <c r="A67" s="52">
        <f>SUBTOTAL(3,$D$3:Character[[#This Row],[NameHelper]])</f>
        <v>65</v>
      </c>
      <c r="B67" s="31" t="e" vm="871">
        <f>IFERROR(INDEX(ImgDatabase!$D:$D, MATCH(Character[[#This Row],[NameHelper]], ImgDatabase!$E:$E, 0)), "")</f>
        <v>#VALUE!</v>
      </c>
      <c r="C67" s="30" t="s">
        <v>464</v>
      </c>
      <c r="D67" s="30" t="s">
        <v>464</v>
      </c>
      <c r="E67" s="29" t="e" vm="112">
        <f>IFERROR(INDEX(ImgDatabase!$G:$G, MATCH(Character[[#This Row],[NameHelper]], ImgDatabase!$E:$E, 0)), "")</f>
        <v>#VALUE!</v>
      </c>
      <c r="F67" s="29" t="e" vm="359">
        <f>IFERROR(INDEX(CharacterDetailsImg[Weapon Type], MATCH(Character[[#This Row],[NameHelper]], CharacterDetailsImg[Name], 0)), "")</f>
        <v>#VALUE!</v>
      </c>
      <c r="G67" s="53">
        <f>IFERROR(INDEX(CharacterDetailsImg[Released Version], MATCH(Character[[#This Row],[NameHelper]], CharacterDetailsImg[Name], 0)), "")</f>
        <v>1.1000000000000001</v>
      </c>
      <c r="H67" s="108">
        <v>0</v>
      </c>
      <c r="I67" s="29">
        <v>0</v>
      </c>
      <c r="J67" s="29">
        <v>0</v>
      </c>
      <c r="K67" s="40">
        <v>0</v>
      </c>
      <c r="M67" s="108">
        <v>81</v>
      </c>
      <c r="N67" s="29">
        <v>1</v>
      </c>
      <c r="O67" s="29">
        <v>9</v>
      </c>
      <c r="P67" s="40">
        <v>9</v>
      </c>
      <c r="R67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67" s="108" t="e" vm="348">
        <f>IFERROR(INDEX(ImgDatabase!$I:$I, MATCH(Character[[#This Row],[NameHelper]], ImgDatabase!$E:$E, 0)), "")</f>
        <v>#VALUE!</v>
      </c>
      <c r="U67" s="61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0</v>
      </c>
      <c r="W67" s="64" t="e" vm="362">
        <f>IFERROR(INDEX(ImgDatabase!$K:$K, MATCH(Character[[#This Row],[NameHelper]], ImgDatabase!$E:$E, 0)), "")</f>
        <v>#VALUE!</v>
      </c>
      <c r="X67" s="26">
        <f t="shared" ref="X67:X91" si="18">AA67+AD67+AG67</f>
        <v>0</v>
      </c>
      <c r="Y67" s="26">
        <f t="shared" ref="Y67:Y91" si="19">AB67+AE67+AH67</f>
        <v>0</v>
      </c>
      <c r="Z67" s="73">
        <f t="shared" ref="Z67:Z91" si="20">AC67+AF67+AI67</f>
        <v>0</v>
      </c>
      <c r="AA67" s="26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67" s="26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67" s="26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67" s="26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0</v>
      </c>
      <c r="AE67" s="26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0</v>
      </c>
      <c r="AF67" s="26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0</v>
      </c>
      <c r="AG67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H67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I67" s="73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K67" s="112" t="e" vm="393">
        <f>IFERROR(INDEX(ImgDatabase!$J:$J, MATCH(Character[[#This Row],[NameHelper]], ImgDatabase!$E:$E, 0)), "")</f>
        <v>#VALUE!</v>
      </c>
      <c r="AL67" s="73">
        <f>SUM(WeeklyBoss[[#This Row],[NA]:[Burst]])</f>
        <v>0</v>
      </c>
      <c r="AM67" s="27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67" s="27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67" s="61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67" s="107" t="e" vm="457">
        <f>IFERROR(INDEX(ImgDatabase!$M:$M, MATCH(Character[[#This Row],[NameHelper]], ImgDatabase!$E:$E, 0)), "")</f>
        <v>#VALUE!</v>
      </c>
      <c r="AR67" s="61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67" s="107" t="e" vm="117">
        <f>IFERROR(INDEX(ImgDatabase!$N:$N, MATCH(Character[[#This Row],[NameHelper]], ImgDatabase!$E:$E, 0)), "")</f>
        <v>#VALUE!</v>
      </c>
      <c r="AU67" s="2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67" s="2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67" s="2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67" s="2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67" s="27" t="e" vm="442">
        <f>IFERROR(INDEX(ImgDatabase!$L:$L, MATCH(Character[[#This Row],[NameHelper]], ImgDatabase!$E:$E, 0)), "")</f>
        <v>#VALUE!</v>
      </c>
      <c r="BA67" s="8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67" s="2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67" s="61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67" s="82">
        <f t="shared" ref="BD67:BD91" si="21">SUM(BG67,BJ67,BM67)</f>
        <v>0</v>
      </c>
      <c r="BE67" s="26">
        <f t="shared" ref="BE67:BE91" si="22">SUM(BH67,BK67,BN67)</f>
        <v>0</v>
      </c>
      <c r="BF67" s="73">
        <f t="shared" ref="BF67:BF91" si="23">SUM(BI67,BL67,BO67)</f>
        <v>0</v>
      </c>
      <c r="BG67" s="82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67" s="26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67" s="26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67" s="26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67" s="26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67" s="26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67" s="26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67" s="26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67" s="73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67" s="89">
        <f t="shared" ref="BP67:BP91" si="24">SUM(BA67,BD67)</f>
        <v>0</v>
      </c>
      <c r="BQ67" s="32">
        <f t="shared" ref="BQ67:BQ91" si="25">SUM(BB67,BE67)</f>
        <v>0</v>
      </c>
      <c r="BR67" s="90">
        <f t="shared" ref="BR67:BR91" si="26">SUM(BC67,BF67)</f>
        <v>0</v>
      </c>
      <c r="BT67" s="102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67" s="33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67" s="33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67" s="33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67" s="103">
        <f>SUM(Table40[[#This Row],[Ascension
Cost]:[Talent Cost
(Burst)]])</f>
        <v>0</v>
      </c>
    </row>
    <row r="68" spans="1:76" ht="30" customHeight="1" x14ac:dyDescent="0.25">
      <c r="A68" s="52">
        <f>SUBTOTAL(3,$D$3:Character[[#This Row],[NameHelper]])</f>
        <v>66</v>
      </c>
      <c r="B68" s="31" t="e" vm="872">
        <f>IFERROR(INDEX(ImgDatabase!$D:$D, MATCH(Character[[#This Row],[NameHelper]], ImgDatabase!$E:$E, 0)), "")</f>
        <v>#VALUE!</v>
      </c>
      <c r="C68" s="30" t="s">
        <v>594</v>
      </c>
      <c r="D68" s="30" t="s">
        <v>594</v>
      </c>
      <c r="E68" s="29" t="e" vm="50">
        <f>IFERROR(INDEX(ImgDatabase!$G:$G, MATCH(Character[[#This Row],[NameHelper]], ImgDatabase!$E:$E, 0)), "")</f>
        <v>#VALUE!</v>
      </c>
      <c r="F68" s="29" t="e" vm="551">
        <f>IFERROR(INDEX(CharacterDetailsImg[Weapon Type], MATCH(Character[[#This Row],[NameHelper]], CharacterDetailsImg[Name], 0)), "")</f>
        <v>#VALUE!</v>
      </c>
      <c r="G68" s="53">
        <f>IFERROR(INDEX(CharacterDetailsImg[Released Version], MATCH(Character[[#This Row],[NameHelper]], CharacterDetailsImg[Name], 0)), "")</f>
        <v>2.2000000000000002</v>
      </c>
      <c r="H68" s="108">
        <v>21</v>
      </c>
      <c r="I68" s="29">
        <v>1</v>
      </c>
      <c r="J68" s="29">
        <v>1</v>
      </c>
      <c r="K68" s="40">
        <v>1</v>
      </c>
      <c r="M68" s="108">
        <v>81</v>
      </c>
      <c r="N68" s="29">
        <v>1</v>
      </c>
      <c r="O68" s="29">
        <v>9</v>
      </c>
      <c r="P68" s="40">
        <v>9</v>
      </c>
      <c r="R68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250</v>
      </c>
      <c r="T68" s="108" t="e" vm="480">
        <f>IFERROR(INDEX(ImgDatabase!$I:$I, MATCH(Character[[#This Row],[NameHelper]], ImgDatabase!$E:$E, 0)), "")</f>
        <v>#VALUE!</v>
      </c>
      <c r="U68" s="40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46</v>
      </c>
      <c r="W68" s="64" t="e" vm="225">
        <f>IFERROR(INDEX(ImgDatabase!$K:$K, MATCH(Character[[#This Row],[NameHelper]], ImgDatabase!$E:$E, 0)), "")</f>
        <v>#VALUE!</v>
      </c>
      <c r="X68" s="28">
        <f t="shared" si="18"/>
        <v>44</v>
      </c>
      <c r="Y68" s="28">
        <f t="shared" si="19"/>
        <v>43</v>
      </c>
      <c r="Z68" s="72">
        <f t="shared" si="20"/>
        <v>25</v>
      </c>
      <c r="AA68" s="28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68" s="28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68" s="28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68" s="28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22</v>
      </c>
      <c r="AE68" s="28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21</v>
      </c>
      <c r="AF68" s="28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3</v>
      </c>
      <c r="AG68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H68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I68" s="72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K68" s="64" t="e" vm="582">
        <f>IFERROR(INDEX(ImgDatabase!$J:$J, MATCH(Character[[#This Row],[NameHelper]], ImgDatabase!$E:$E, 0)), "")</f>
        <v>#VALUE!</v>
      </c>
      <c r="AL68" s="72">
        <f>SUM(WeeklyBoss[[#This Row],[NA]:[Burst]])</f>
        <v>8</v>
      </c>
      <c r="AM68" s="2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68" s="2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68" s="40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68" s="108" t="e" vm="621">
        <f>IFERROR(INDEX(ImgDatabase!$M:$M, MATCH(Character[[#This Row],[NameHelper]], ImgDatabase!$E:$E, 0)), "")</f>
        <v>#VALUE!</v>
      </c>
      <c r="AR68" s="40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T68" s="108" t="e" vm="56">
        <f>IFERROR(INDEX(ImgDatabase!$N:$N, MATCH(Character[[#This Row],[NameHelper]], ImgDatabase!$E:$E, 0)), "")</f>
        <v>#VALUE!</v>
      </c>
      <c r="AU68" s="2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68" s="2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W68" s="2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X68" s="2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68" s="29" t="e" vm="54">
        <f>IFERROR(INDEX(ImgDatabase!$L:$L, MATCH(Character[[#This Row],[NameHelper]], ImgDatabase!$E:$E, 0)), "")</f>
        <v>#VALUE!</v>
      </c>
      <c r="BA68" s="39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BB68" s="2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BC68" s="40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BD68" s="71">
        <f t="shared" si="21"/>
        <v>38</v>
      </c>
      <c r="BE68" s="28">
        <f t="shared" si="22"/>
        <v>44</v>
      </c>
      <c r="BF68" s="72">
        <f t="shared" si="23"/>
        <v>12</v>
      </c>
      <c r="BG68" s="71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68" s="2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68" s="2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68" s="2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68" s="2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68" s="2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68" s="2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68" s="2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68" s="72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68" s="91">
        <f t="shared" si="24"/>
        <v>74</v>
      </c>
      <c r="BQ68" s="34">
        <f t="shared" si="25"/>
        <v>74</v>
      </c>
      <c r="BR68" s="92">
        <f t="shared" si="26"/>
        <v>27</v>
      </c>
      <c r="BT68" s="100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1397530</v>
      </c>
      <c r="BU68" s="35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68" s="35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68" s="35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68" s="101">
        <f>SUM(Table40[[#This Row],[Ascension
Cost]:[Talent Cost
(Burst)]])</f>
        <v>3302530</v>
      </c>
    </row>
    <row r="69" spans="1:76" ht="30" customHeight="1" x14ac:dyDescent="0.25">
      <c r="A69" s="52">
        <f>SUBTOTAL(3,$D$3:Character[[#This Row],[NameHelper]])</f>
        <v>67</v>
      </c>
      <c r="B69" s="31" t="e" vm="873">
        <f>IFERROR(INDEX(ImgDatabase!$D:$D, MATCH(Character[[#This Row],[NameHelper]], ImgDatabase!$E:$E, 0)), "")</f>
        <v>#VALUE!</v>
      </c>
      <c r="C69" s="30" t="s">
        <v>470</v>
      </c>
      <c r="D69" s="30" t="s">
        <v>470</v>
      </c>
      <c r="E69" s="29" t="e" vm="28">
        <f>IFERROR(INDEX(ImgDatabase!$G:$G, MATCH(Character[[#This Row],[NameHelper]], ImgDatabase!$E:$E, 0)), "")</f>
        <v>#VALUE!</v>
      </c>
      <c r="F69" s="29" t="e" vm="359">
        <f>IFERROR(INDEX(CharacterDetailsImg[Weapon Type], MATCH(Character[[#This Row],[NameHelper]], CharacterDetailsImg[Name], 0)), "")</f>
        <v>#VALUE!</v>
      </c>
      <c r="G69" s="53">
        <f>IFERROR(INDEX(CharacterDetailsImg[Released Version], MATCH(Character[[#This Row],[NameHelper]], CharacterDetailsImg[Name], 0)), "")</f>
        <v>3</v>
      </c>
      <c r="H69" s="108">
        <v>22</v>
      </c>
      <c r="I69" s="29">
        <v>1</v>
      </c>
      <c r="J69" s="29">
        <v>1</v>
      </c>
      <c r="K69" s="40">
        <v>1</v>
      </c>
      <c r="M69" s="108">
        <v>81</v>
      </c>
      <c r="N69" s="29">
        <v>1</v>
      </c>
      <c r="O69" s="29">
        <v>9</v>
      </c>
      <c r="P69" s="40">
        <v>9</v>
      </c>
      <c r="R69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249</v>
      </c>
      <c r="T69" s="108" t="e" vm="383">
        <f>IFERROR(INDEX(ImgDatabase!$I:$I, MATCH(Character[[#This Row],[NameHelper]], ImgDatabase!$E:$E, 0)), "")</f>
        <v>#VALUE!</v>
      </c>
      <c r="U69" s="61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46</v>
      </c>
      <c r="W69" s="64" t="e" vm="404">
        <f>IFERROR(INDEX(ImgDatabase!$K:$K, MATCH(Character[[#This Row],[NameHelper]], ImgDatabase!$E:$E, 0)), "")</f>
        <v>#VALUE!</v>
      </c>
      <c r="X69" s="26">
        <f t="shared" si="18"/>
        <v>44</v>
      </c>
      <c r="Y69" s="26">
        <f t="shared" si="19"/>
        <v>43</v>
      </c>
      <c r="Z69" s="73">
        <f t="shared" si="20"/>
        <v>25</v>
      </c>
      <c r="AA69" s="26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69" s="26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69" s="26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69" s="26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22</v>
      </c>
      <c r="AE69" s="26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21</v>
      </c>
      <c r="AF69" s="26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3</v>
      </c>
      <c r="AG69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H69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I69" s="73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K69" s="112" t="e" vm="463">
        <f>IFERROR(INDEX(ImgDatabase!$J:$J, MATCH(Character[[#This Row],[NameHelper]], ImgDatabase!$E:$E, 0)), "")</f>
        <v>#VALUE!</v>
      </c>
      <c r="AL69" s="73">
        <f>SUM(WeeklyBoss[[#This Row],[NA]:[Burst]])</f>
        <v>8</v>
      </c>
      <c r="AM69" s="27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69" s="27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69" s="61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69" s="107" t="e" vm="250">
        <f>IFERROR(INDEX(ImgDatabase!$M:$M, MATCH(Character[[#This Row],[NameHelper]], ImgDatabase!$E:$E, 0)), "")</f>
        <v>#VALUE!</v>
      </c>
      <c r="AR69" s="61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T69" s="107" t="e" vm="34">
        <f>IFERROR(INDEX(ImgDatabase!$N:$N, MATCH(Character[[#This Row],[NameHelper]], ImgDatabase!$E:$E, 0)), "")</f>
        <v>#VALUE!</v>
      </c>
      <c r="AU69" s="2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69" s="2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W69" s="2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X69" s="2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69" s="27" t="e" vm="271">
        <f>IFERROR(INDEX(ImgDatabase!$L:$L, MATCH(Character[[#This Row],[NameHelper]], ImgDatabase!$E:$E, 0)), "")</f>
        <v>#VALUE!</v>
      </c>
      <c r="BA69" s="8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BB69" s="2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BC69" s="61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BD69" s="82">
        <f t="shared" si="21"/>
        <v>38</v>
      </c>
      <c r="BE69" s="26">
        <f t="shared" si="22"/>
        <v>44</v>
      </c>
      <c r="BF69" s="73">
        <f t="shared" si="23"/>
        <v>12</v>
      </c>
      <c r="BG69" s="82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69" s="26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69" s="26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69" s="26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69" s="26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69" s="26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69" s="26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69" s="26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69" s="73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69" s="89">
        <f t="shared" si="24"/>
        <v>74</v>
      </c>
      <c r="BQ69" s="32">
        <f t="shared" si="25"/>
        <v>74</v>
      </c>
      <c r="BR69" s="90">
        <f t="shared" si="26"/>
        <v>27</v>
      </c>
      <c r="BT69" s="102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1394170</v>
      </c>
      <c r="BU69" s="33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69" s="33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69" s="33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69" s="103">
        <f>SUM(Table40[[#This Row],[Ascension
Cost]:[Talent Cost
(Burst)]])</f>
        <v>3299170</v>
      </c>
    </row>
    <row r="70" spans="1:76" ht="30" customHeight="1" x14ac:dyDescent="0.25">
      <c r="A70" s="52">
        <f>SUBTOTAL(3,$D$3:Character[[#This Row],[NameHelper]])</f>
        <v>68</v>
      </c>
      <c r="B70" s="31" t="e" vm="874">
        <f>IFERROR(INDEX(ImgDatabase!$D:$D, MATCH(Character[[#This Row],[NameHelper]], ImgDatabase!$E:$E, 0)), "")</f>
        <v>#VALUE!</v>
      </c>
      <c r="C70" s="30" t="s">
        <v>754</v>
      </c>
      <c r="D70" s="30" t="s">
        <v>294</v>
      </c>
      <c r="E70" s="29" t="e" vm="131">
        <f>IFERROR(INDEX(ImgDatabase!$G:$G, MATCH(Character[[#This Row],[NameHelper]], ImgDatabase!$E:$E, 0)), "")</f>
        <v>#VALUE!</v>
      </c>
      <c r="F70" s="29" t="e" vm="5">
        <f>IFERROR(INDEX(CharacterDetailsImg[Weapon Type], MATCH(Character[[#This Row],[NameHelper]], CharacterDetailsImg[Name], 0)), "")</f>
        <v>#VALUE!</v>
      </c>
      <c r="G70" s="53">
        <f>IFERROR(INDEX(CharacterDetailsImg[Released Version], MATCH(Character[[#This Row],[NameHelper]], CharacterDetailsImg[Name], 0)), "")</f>
        <v>1</v>
      </c>
      <c r="H70" s="108">
        <v>81</v>
      </c>
      <c r="I70" s="29">
        <v>1</v>
      </c>
      <c r="J70" s="29">
        <v>1</v>
      </c>
      <c r="K70" s="40">
        <v>1</v>
      </c>
      <c r="M70" s="108">
        <v>81</v>
      </c>
      <c r="N70" s="29">
        <v>1</v>
      </c>
      <c r="O70" s="29">
        <v>9</v>
      </c>
      <c r="P70" s="40">
        <v>9</v>
      </c>
      <c r="R70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70" s="108">
        <f>IFERROR(INDEX(ImgDatabase!$I:$I, MATCH(Character[[#This Row],[NameHelper]], ImgDatabase!$E:$E, 0)), "")</f>
        <v>0</v>
      </c>
      <c r="U70" s="40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0</v>
      </c>
      <c r="W70" s="64">
        <f>IFERROR(INDEX(ImgDatabase!$K:$K, MATCH(Character[[#This Row],[NameHelper]], ImgDatabase!$E:$E, 0)), "")</f>
        <v>0</v>
      </c>
      <c r="X70" s="28">
        <f t="shared" si="18"/>
        <v>44</v>
      </c>
      <c r="Y70" s="28">
        <f t="shared" si="19"/>
        <v>43</v>
      </c>
      <c r="Z70" s="72">
        <f t="shared" si="20"/>
        <v>25</v>
      </c>
      <c r="AA70" s="28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70" s="28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70" s="28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70" s="28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22</v>
      </c>
      <c r="AE70" s="28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21</v>
      </c>
      <c r="AF70" s="28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3</v>
      </c>
      <c r="AG70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H70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I70" s="72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K70" s="64">
        <f>IFERROR(INDEX(ImgDatabase!$J:$J, MATCH(Character[[#This Row],[NameHelper]], ImgDatabase!$E:$E, 0)), "")</f>
        <v>0</v>
      </c>
      <c r="AL70" s="72">
        <f>SUM(WeeklyBoss[[#This Row],[NA]:[Burst]])</f>
        <v>8</v>
      </c>
      <c r="AM70" s="2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70" s="2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70" s="40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70" s="108" t="e" vm="55">
        <f>IFERROR(INDEX(ImgDatabase!$M:$M, MATCH(Character[[#This Row],[NameHelper]], ImgDatabase!$E:$E, 0)), "")</f>
        <v>#VALUE!</v>
      </c>
      <c r="AR70" s="40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70" s="108" t="e" vm="291">
        <f>IFERROR(INDEX(ImgDatabase!$N:$N, MATCH(Character[[#This Row],[NameHelper]], ImgDatabase!$E:$E, 0)), "")</f>
        <v>#VALUE!</v>
      </c>
      <c r="AU70" s="2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70" s="2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70" s="2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70" s="2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70" s="29">
        <f>IFERROR(INDEX(ImgDatabase!$L:$L, MATCH(Character[[#This Row],[NameHelper]], ImgDatabase!$E:$E, 0)), "")</f>
        <v>0</v>
      </c>
      <c r="BA70" s="39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70" s="2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70" s="40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70" s="71">
        <f t="shared" si="21"/>
        <v>38</v>
      </c>
      <c r="BE70" s="28">
        <f t="shared" si="22"/>
        <v>44</v>
      </c>
      <c r="BF70" s="72">
        <f t="shared" si="23"/>
        <v>12</v>
      </c>
      <c r="BG70" s="71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70" s="2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70" s="2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70" s="2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70" s="2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70" s="2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70" s="2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70" s="2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70" s="72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70" s="91">
        <f t="shared" si="24"/>
        <v>38</v>
      </c>
      <c r="BQ70" s="34">
        <f t="shared" si="25"/>
        <v>44</v>
      </c>
      <c r="BR70" s="92">
        <f t="shared" si="26"/>
        <v>12</v>
      </c>
      <c r="BT70" s="100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70" s="35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70" s="35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70" s="35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70" s="101">
        <f>SUM(Table40[[#This Row],[Ascension
Cost]:[Talent Cost
(Burst)]])</f>
        <v>1905000</v>
      </c>
    </row>
    <row r="71" spans="1:76" ht="30" customHeight="1" x14ac:dyDescent="0.25">
      <c r="A71" s="52">
        <f>SUBTOTAL(3,$D$3:Character[[#This Row],[NameHelper]])</f>
        <v>69</v>
      </c>
      <c r="B71" s="31" t="e" vm="875">
        <f>IFERROR(INDEX(ImgDatabase!$D:$D, MATCH(Character[[#This Row],[NameHelper]], ImgDatabase!$E:$E, 0)), "")</f>
        <v>#VALUE!</v>
      </c>
      <c r="C71" s="30" t="s">
        <v>754</v>
      </c>
      <c r="D71" s="30" t="s">
        <v>305</v>
      </c>
      <c r="E71" s="29" t="e" vm="6">
        <f>IFERROR(INDEX(ImgDatabase!$G:$G, MATCH(Character[[#This Row],[NameHelper]], ImgDatabase!$E:$E, 0)), "")</f>
        <v>#VALUE!</v>
      </c>
      <c r="F71" s="29" t="e" vm="5">
        <f>IFERROR(INDEX(CharacterDetailsImg[Weapon Type], MATCH(Character[[#This Row],[NameHelper]], CharacterDetailsImg[Name], 0)), "")</f>
        <v>#VALUE!</v>
      </c>
      <c r="G71" s="53">
        <f>IFERROR(INDEX(CharacterDetailsImg[Released Version], MATCH(Character[[#This Row],[NameHelper]], CharacterDetailsImg[Name], 0)), "")</f>
        <v>1.1000000000000001</v>
      </c>
      <c r="H71" s="108">
        <v>81</v>
      </c>
      <c r="I71" s="29">
        <v>1</v>
      </c>
      <c r="J71" s="29">
        <v>1</v>
      </c>
      <c r="K71" s="40">
        <v>1</v>
      </c>
      <c r="M71" s="108">
        <v>81</v>
      </c>
      <c r="N71" s="29">
        <v>1</v>
      </c>
      <c r="O71" s="29">
        <v>9</v>
      </c>
      <c r="P71" s="40">
        <v>9</v>
      </c>
      <c r="R71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71" s="108">
        <f>IFERROR(INDEX(ImgDatabase!$I:$I, MATCH(Character[[#This Row],[NameHelper]], ImgDatabase!$E:$E, 0)), "")</f>
        <v>0</v>
      </c>
      <c r="U71" s="61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0</v>
      </c>
      <c r="W71" s="64">
        <f>IFERROR(INDEX(ImgDatabase!$K:$K, MATCH(Character[[#This Row],[NameHelper]], ImgDatabase!$E:$E, 0)), "")</f>
        <v>0</v>
      </c>
      <c r="X71" s="26">
        <f t="shared" si="18"/>
        <v>44</v>
      </c>
      <c r="Y71" s="26">
        <f t="shared" si="19"/>
        <v>43</v>
      </c>
      <c r="Z71" s="73">
        <f t="shared" si="20"/>
        <v>25</v>
      </c>
      <c r="AA71" s="26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71" s="26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71" s="26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71" s="26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22</v>
      </c>
      <c r="AE71" s="26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21</v>
      </c>
      <c r="AF71" s="26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3</v>
      </c>
      <c r="AG71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H71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I71" s="73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K71" s="112">
        <f>IFERROR(INDEX(ImgDatabase!$J:$J, MATCH(Character[[#This Row],[NameHelper]], ImgDatabase!$E:$E, 0)), "")</f>
        <v>0</v>
      </c>
      <c r="AL71" s="73">
        <f>SUM(WeeklyBoss[[#This Row],[NA]:[Burst]])</f>
        <v>8</v>
      </c>
      <c r="AM71" s="27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71" s="27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71" s="61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71" s="107" t="e" vm="55">
        <f>IFERROR(INDEX(ImgDatabase!$M:$M, MATCH(Character[[#This Row],[NameHelper]], ImgDatabase!$E:$E, 0)), "")</f>
        <v>#VALUE!</v>
      </c>
      <c r="AR71" s="61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71" s="107" t="e" vm="291">
        <f>IFERROR(INDEX(ImgDatabase!$N:$N, MATCH(Character[[#This Row],[NameHelper]], ImgDatabase!$E:$E, 0)), "")</f>
        <v>#VALUE!</v>
      </c>
      <c r="AU71" s="2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71" s="2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71" s="2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71" s="2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71" s="27">
        <f>IFERROR(INDEX(ImgDatabase!$L:$L, MATCH(Character[[#This Row],[NameHelper]], ImgDatabase!$E:$E, 0)), "")</f>
        <v>0</v>
      </c>
      <c r="BA71" s="8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71" s="2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71" s="61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71" s="82">
        <f t="shared" si="21"/>
        <v>38</v>
      </c>
      <c r="BE71" s="26">
        <f t="shared" si="22"/>
        <v>44</v>
      </c>
      <c r="BF71" s="73">
        <f t="shared" si="23"/>
        <v>12</v>
      </c>
      <c r="BG71" s="82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71" s="26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71" s="26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71" s="26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71" s="26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71" s="26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71" s="26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71" s="26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71" s="73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71" s="89">
        <f t="shared" si="24"/>
        <v>38</v>
      </c>
      <c r="BQ71" s="32">
        <f t="shared" si="25"/>
        <v>44</v>
      </c>
      <c r="BR71" s="90">
        <f t="shared" si="26"/>
        <v>12</v>
      </c>
      <c r="BT71" s="102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71" s="33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71" s="33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71" s="33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71" s="103">
        <f>SUM(Table40[[#This Row],[Ascension
Cost]:[Talent Cost
(Burst)]])</f>
        <v>1905000</v>
      </c>
    </row>
    <row r="72" spans="1:76" ht="30" customHeight="1" x14ac:dyDescent="0.25">
      <c r="A72" s="52">
        <f>SUBTOTAL(3,$D$3:Character[[#This Row],[NameHelper]])</f>
        <v>70</v>
      </c>
      <c r="B72" s="31" t="e" vm="876">
        <f>IFERROR(INDEX(ImgDatabase!$D:$D, MATCH(Character[[#This Row],[NameHelper]], ImgDatabase!$E:$E, 0)), "")</f>
        <v>#VALUE!</v>
      </c>
      <c r="C72" s="30" t="s">
        <v>754</v>
      </c>
      <c r="D72" s="30" t="s">
        <v>315</v>
      </c>
      <c r="E72" s="29" t="e" vm="91">
        <f>IFERROR(INDEX(ImgDatabase!$G:$G, MATCH(Character[[#This Row],[NameHelper]], ImgDatabase!$E:$E, 0)), "")</f>
        <v>#VALUE!</v>
      </c>
      <c r="F72" s="29" t="e" vm="5">
        <f>IFERROR(INDEX(CharacterDetailsImg[Weapon Type], MATCH(Character[[#This Row],[NameHelper]], CharacterDetailsImg[Name], 0)), "")</f>
        <v>#VALUE!</v>
      </c>
      <c r="G72" s="53">
        <f>IFERROR(INDEX(CharacterDetailsImg[Released Version], MATCH(Character[[#This Row],[NameHelper]], CharacterDetailsImg[Name], 0)), "")</f>
        <v>2</v>
      </c>
      <c r="H72" s="108">
        <v>81</v>
      </c>
      <c r="I72" s="29">
        <v>1</v>
      </c>
      <c r="J72" s="29">
        <v>4</v>
      </c>
      <c r="K72" s="40">
        <v>4</v>
      </c>
      <c r="M72" s="108">
        <v>81</v>
      </c>
      <c r="N72" s="29">
        <v>1</v>
      </c>
      <c r="O72" s="29">
        <v>9</v>
      </c>
      <c r="P72" s="40">
        <v>9</v>
      </c>
      <c r="R72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72" s="108">
        <f>IFERROR(INDEX(ImgDatabase!$I:$I, MATCH(Character[[#This Row],[NameHelper]], ImgDatabase!$E:$E, 0)), "")</f>
        <v>0</v>
      </c>
      <c r="U72" s="40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0</v>
      </c>
      <c r="W72" s="64">
        <f>IFERROR(INDEX(ImgDatabase!$K:$K, MATCH(Character[[#This Row],[NameHelper]], ImgDatabase!$E:$E, 0)), "")</f>
        <v>0</v>
      </c>
      <c r="X72" s="28">
        <f t="shared" si="18"/>
        <v>44</v>
      </c>
      <c r="Y72" s="28">
        <f t="shared" si="19"/>
        <v>37</v>
      </c>
      <c r="Z72" s="72">
        <f t="shared" si="20"/>
        <v>22</v>
      </c>
      <c r="AA72" s="28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72" s="28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72" s="28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72" s="28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22</v>
      </c>
      <c r="AE72" s="28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15</v>
      </c>
      <c r="AF72" s="28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0</v>
      </c>
      <c r="AG72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H72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I72" s="72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K72" s="64">
        <f>IFERROR(INDEX(ImgDatabase!$J:$J, MATCH(Character[[#This Row],[NameHelper]], ImgDatabase!$E:$E, 0)), "")</f>
        <v>0</v>
      </c>
      <c r="AL72" s="72">
        <f>SUM(WeeklyBoss[[#This Row],[NA]:[Burst]])</f>
        <v>8</v>
      </c>
      <c r="AM72" s="2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72" s="2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72" s="40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72" s="108" t="e" vm="55">
        <f>IFERROR(INDEX(ImgDatabase!$M:$M, MATCH(Character[[#This Row],[NameHelper]], ImgDatabase!$E:$E, 0)), "")</f>
        <v>#VALUE!</v>
      </c>
      <c r="AR72" s="40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72" s="108" t="e" vm="291">
        <f>IFERROR(INDEX(ImgDatabase!$N:$N, MATCH(Character[[#This Row],[NameHelper]], ImgDatabase!$E:$E, 0)), "")</f>
        <v>#VALUE!</v>
      </c>
      <c r="AU72" s="2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72" s="2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72" s="2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72" s="2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72" s="29">
        <f>IFERROR(INDEX(ImgDatabase!$L:$L, MATCH(Character[[#This Row],[NameHelper]], ImgDatabase!$E:$E, 0)), "")</f>
        <v>0</v>
      </c>
      <c r="BA72" s="39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72" s="2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72" s="40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72" s="71">
        <f t="shared" si="21"/>
        <v>38</v>
      </c>
      <c r="BE72" s="28">
        <f t="shared" si="22"/>
        <v>30</v>
      </c>
      <c r="BF72" s="72">
        <f t="shared" si="23"/>
        <v>0</v>
      </c>
      <c r="BG72" s="71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72" s="2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72" s="2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72" s="2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72" s="2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15</v>
      </c>
      <c r="BL72" s="2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72" s="2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72" s="2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15</v>
      </c>
      <c r="BO72" s="72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72" s="91">
        <f t="shared" si="24"/>
        <v>38</v>
      </c>
      <c r="BQ72" s="34">
        <f t="shared" si="25"/>
        <v>30</v>
      </c>
      <c r="BR72" s="92">
        <f t="shared" si="26"/>
        <v>0</v>
      </c>
      <c r="BT72" s="100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72" s="35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72" s="35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897500</v>
      </c>
      <c r="BW72" s="35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897500</v>
      </c>
      <c r="BX72" s="101">
        <f>SUM(Table40[[#This Row],[Ascension
Cost]:[Talent Cost
(Burst)]])</f>
        <v>1795000</v>
      </c>
    </row>
    <row r="73" spans="1:76" ht="30" customHeight="1" x14ac:dyDescent="0.25">
      <c r="A73" s="52">
        <f>SUBTOTAL(3,$D$3:Character[[#This Row],[NameHelper]])</f>
        <v>71</v>
      </c>
      <c r="B73" s="31" t="e" vm="877">
        <f>IFERROR(INDEX(ImgDatabase!$D:$D, MATCH(Character[[#This Row],[NameHelper]], ImgDatabase!$E:$E, 0)), "")</f>
        <v>#VALUE!</v>
      </c>
      <c r="C73" s="30" t="s">
        <v>754</v>
      </c>
      <c r="D73" s="30" t="s">
        <v>324</v>
      </c>
      <c r="E73" s="29" t="e" vm="28">
        <f>IFERROR(INDEX(ImgDatabase!$G:$G, MATCH(Character[[#This Row],[NameHelper]], ImgDatabase!$E:$E, 0)), "")</f>
        <v>#VALUE!</v>
      </c>
      <c r="F73" s="29" t="e" vm="5">
        <f>IFERROR(INDEX(CharacterDetailsImg[Weapon Type], MATCH(Character[[#This Row],[NameHelper]], CharacterDetailsImg[Name], 0)), "")</f>
        <v>#VALUE!</v>
      </c>
      <c r="G73" s="53">
        <f>IFERROR(INDEX(CharacterDetailsImg[Released Version], MATCH(Character[[#This Row],[NameHelper]], CharacterDetailsImg[Name], 0)), "")</f>
        <v>3</v>
      </c>
      <c r="H73" s="108">
        <v>81</v>
      </c>
      <c r="I73" s="29">
        <v>1</v>
      </c>
      <c r="J73" s="29">
        <v>1</v>
      </c>
      <c r="K73" s="40">
        <v>1</v>
      </c>
      <c r="M73" s="108">
        <v>81</v>
      </c>
      <c r="N73" s="29">
        <v>1</v>
      </c>
      <c r="O73" s="29">
        <v>9</v>
      </c>
      <c r="P73" s="40">
        <v>9</v>
      </c>
      <c r="R73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73" s="108">
        <f>IFERROR(INDEX(ImgDatabase!$I:$I, MATCH(Character[[#This Row],[NameHelper]], ImgDatabase!$E:$E, 0)), "")</f>
        <v>0</v>
      </c>
      <c r="U73" s="61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0</v>
      </c>
      <c r="W73" s="64">
        <f>IFERROR(INDEX(ImgDatabase!$K:$K, MATCH(Character[[#This Row],[NameHelper]], ImgDatabase!$E:$E, 0)), "")</f>
        <v>0</v>
      </c>
      <c r="X73" s="26">
        <f t="shared" si="18"/>
        <v>44</v>
      </c>
      <c r="Y73" s="26">
        <f t="shared" si="19"/>
        <v>43</v>
      </c>
      <c r="Z73" s="73">
        <f t="shared" si="20"/>
        <v>25</v>
      </c>
      <c r="AA73" s="26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73" s="26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73" s="26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73" s="26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22</v>
      </c>
      <c r="AE73" s="26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21</v>
      </c>
      <c r="AF73" s="26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3</v>
      </c>
      <c r="AG73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H73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I73" s="73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K73" s="112">
        <f>IFERROR(INDEX(ImgDatabase!$J:$J, MATCH(Character[[#This Row],[NameHelper]], ImgDatabase!$E:$E, 0)), "")</f>
        <v>0</v>
      </c>
      <c r="AL73" s="73">
        <f>SUM(WeeklyBoss[[#This Row],[NA]:[Burst]])</f>
        <v>8</v>
      </c>
      <c r="AM73" s="27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73" s="27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73" s="61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73" s="107" t="e" vm="55">
        <f>IFERROR(INDEX(ImgDatabase!$M:$M, MATCH(Character[[#This Row],[NameHelper]], ImgDatabase!$E:$E, 0)), "")</f>
        <v>#VALUE!</v>
      </c>
      <c r="AR73" s="61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73" s="107" t="e" vm="291">
        <f>IFERROR(INDEX(ImgDatabase!$N:$N, MATCH(Character[[#This Row],[NameHelper]], ImgDatabase!$E:$E, 0)), "")</f>
        <v>#VALUE!</v>
      </c>
      <c r="AU73" s="2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73" s="2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73" s="2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73" s="2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73" s="27">
        <f>IFERROR(INDEX(ImgDatabase!$L:$L, MATCH(Character[[#This Row],[NameHelper]], ImgDatabase!$E:$E, 0)), "")</f>
        <v>0</v>
      </c>
      <c r="BA73" s="8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73" s="2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73" s="61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73" s="82">
        <f t="shared" si="21"/>
        <v>38</v>
      </c>
      <c r="BE73" s="26">
        <f t="shared" si="22"/>
        <v>44</v>
      </c>
      <c r="BF73" s="73">
        <f t="shared" si="23"/>
        <v>12</v>
      </c>
      <c r="BG73" s="82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73" s="26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73" s="26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73" s="26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73" s="26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73" s="26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73" s="26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73" s="26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73" s="73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73" s="89">
        <f t="shared" si="24"/>
        <v>38</v>
      </c>
      <c r="BQ73" s="32">
        <f t="shared" si="25"/>
        <v>44</v>
      </c>
      <c r="BR73" s="90">
        <f t="shared" si="26"/>
        <v>12</v>
      </c>
      <c r="BT73" s="102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73" s="33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73" s="33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73" s="33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73" s="103">
        <f>SUM(Table40[[#This Row],[Ascension
Cost]:[Talent Cost
(Burst)]])</f>
        <v>1905000</v>
      </c>
    </row>
    <row r="74" spans="1:76" ht="30" customHeight="1" x14ac:dyDescent="0.25">
      <c r="A74" s="52">
        <f>SUBTOTAL(3,$D$3:Character[[#This Row],[NameHelper]])</f>
        <v>72</v>
      </c>
      <c r="B74" s="31" t="e" vm="878">
        <f>IFERROR(INDEX(ImgDatabase!$D:$D, MATCH(Character[[#This Row],[NameHelper]], ImgDatabase!$E:$E, 0)), "")</f>
        <v>#VALUE!</v>
      </c>
      <c r="C74" s="30" t="s">
        <v>754</v>
      </c>
      <c r="D74" s="30" t="s">
        <v>336</v>
      </c>
      <c r="E74" s="29" t="e" vm="112">
        <f>IFERROR(INDEX(ImgDatabase!$G:$G, MATCH(Character[[#This Row],[NameHelper]], ImgDatabase!$E:$E, 0)), "")</f>
        <v>#VALUE!</v>
      </c>
      <c r="F74" s="29" t="e" vm="5">
        <f>IFERROR(INDEX(CharacterDetailsImg[Weapon Type], MATCH(Character[[#This Row],[NameHelper]], CharacterDetailsImg[Name], 0)), "")</f>
        <v>#VALUE!</v>
      </c>
      <c r="G74" s="53">
        <f>IFERROR(INDEX(CharacterDetailsImg[Released Version], MATCH(Character[[#This Row],[NameHelper]], CharacterDetailsImg[Name], 0)), "")</f>
        <v>4</v>
      </c>
      <c r="H74" s="108">
        <v>81</v>
      </c>
      <c r="I74" s="29">
        <v>1</v>
      </c>
      <c r="J74" s="29">
        <v>1</v>
      </c>
      <c r="K74" s="40">
        <v>1</v>
      </c>
      <c r="M74" s="108">
        <v>81</v>
      </c>
      <c r="N74" s="29">
        <v>1</v>
      </c>
      <c r="O74" s="29">
        <v>9</v>
      </c>
      <c r="P74" s="40">
        <v>9</v>
      </c>
      <c r="R74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74" s="108">
        <f>IFERROR(INDEX(ImgDatabase!$I:$I, MATCH(Character[[#This Row],[NameHelper]], ImgDatabase!$E:$E, 0)), "")</f>
        <v>0</v>
      </c>
      <c r="U74" s="40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0</v>
      </c>
      <c r="W74" s="64">
        <f>IFERROR(INDEX(ImgDatabase!$K:$K, MATCH(Character[[#This Row],[NameHelper]], ImgDatabase!$E:$E, 0)), "")</f>
        <v>0</v>
      </c>
      <c r="X74" s="28">
        <f t="shared" si="18"/>
        <v>44</v>
      </c>
      <c r="Y74" s="28">
        <f t="shared" si="19"/>
        <v>43</v>
      </c>
      <c r="Z74" s="72">
        <f t="shared" si="20"/>
        <v>25</v>
      </c>
      <c r="AA74" s="28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74" s="28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74" s="28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74" s="28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22</v>
      </c>
      <c r="AE74" s="28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21</v>
      </c>
      <c r="AF74" s="28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3</v>
      </c>
      <c r="AG74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H74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I74" s="72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K74" s="64">
        <f>IFERROR(INDEX(ImgDatabase!$J:$J, MATCH(Character[[#This Row],[NameHelper]], ImgDatabase!$E:$E, 0)), "")</f>
        <v>0</v>
      </c>
      <c r="AL74" s="72">
        <f>SUM(WeeklyBoss[[#This Row],[NA]:[Burst]])</f>
        <v>8</v>
      </c>
      <c r="AM74" s="2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74" s="2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74" s="40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74" s="108" t="e" vm="55">
        <f>IFERROR(INDEX(ImgDatabase!$M:$M, MATCH(Character[[#This Row],[NameHelper]], ImgDatabase!$E:$E, 0)), "")</f>
        <v>#VALUE!</v>
      </c>
      <c r="AR74" s="40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74" s="108" t="e" vm="291">
        <f>IFERROR(INDEX(ImgDatabase!$N:$N, MATCH(Character[[#This Row],[NameHelper]], ImgDatabase!$E:$E, 0)), "")</f>
        <v>#VALUE!</v>
      </c>
      <c r="AU74" s="2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74" s="2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74" s="2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74" s="2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74" s="29">
        <f>IFERROR(INDEX(ImgDatabase!$L:$L, MATCH(Character[[#This Row],[NameHelper]], ImgDatabase!$E:$E, 0)), "")</f>
        <v>0</v>
      </c>
      <c r="BA74" s="39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74" s="2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74" s="40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74" s="71">
        <f t="shared" si="21"/>
        <v>38</v>
      </c>
      <c r="BE74" s="28">
        <f t="shared" si="22"/>
        <v>44</v>
      </c>
      <c r="BF74" s="72">
        <f t="shared" si="23"/>
        <v>12</v>
      </c>
      <c r="BG74" s="71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74" s="2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74" s="2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74" s="2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74" s="2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74" s="2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74" s="2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74" s="2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74" s="72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74" s="91">
        <f t="shared" si="24"/>
        <v>38</v>
      </c>
      <c r="BQ74" s="34">
        <f t="shared" si="25"/>
        <v>44</v>
      </c>
      <c r="BR74" s="92">
        <f t="shared" si="26"/>
        <v>12</v>
      </c>
      <c r="BT74" s="100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74" s="35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74" s="35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74" s="35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74" s="101">
        <f>SUM(Table40[[#This Row],[Ascension
Cost]:[Talent Cost
(Burst)]])</f>
        <v>1905000</v>
      </c>
    </row>
    <row r="75" spans="1:76" ht="30" customHeight="1" x14ac:dyDescent="0.25">
      <c r="A75" s="52">
        <f>SUBTOTAL(3,$D$3:Character[[#This Row],[NameHelper]])</f>
        <v>73</v>
      </c>
      <c r="B75" s="31" t="e" vm="879">
        <f>IFERROR(INDEX(ImgDatabase!$D:$D, MATCH(Character[[#This Row],[NameHelper]], ImgDatabase!$E:$E, 0)), "")</f>
        <v>#VALUE!</v>
      </c>
      <c r="C75" s="30" t="s">
        <v>754</v>
      </c>
      <c r="D75" s="30" t="s">
        <v>346</v>
      </c>
      <c r="E75" s="29" t="e" vm="50">
        <f>IFERROR(INDEX(ImgDatabase!$G:$G, MATCH(Character[[#This Row],[NameHelper]], ImgDatabase!$E:$E, 0)), "")</f>
        <v>#VALUE!</v>
      </c>
      <c r="F75" s="29" t="e" vm="5">
        <f>IFERROR(INDEX(CharacterDetailsImg[Weapon Type], MATCH(Character[[#This Row],[NameHelper]], CharacterDetailsImg[Name], 0)), "")</f>
        <v>#VALUE!</v>
      </c>
      <c r="G75" s="53">
        <f>IFERROR(INDEX(CharacterDetailsImg[Released Version], MATCH(Character[[#This Row],[NameHelper]], CharacterDetailsImg[Name], 0)), "")</f>
        <v>5</v>
      </c>
      <c r="H75" s="108">
        <v>81</v>
      </c>
      <c r="I75" s="29">
        <v>5</v>
      </c>
      <c r="J75" s="29">
        <v>6</v>
      </c>
      <c r="K75" s="40">
        <v>6</v>
      </c>
      <c r="M75" s="108">
        <v>81</v>
      </c>
      <c r="N75" s="29">
        <v>1</v>
      </c>
      <c r="O75" s="29">
        <v>9</v>
      </c>
      <c r="P75" s="40">
        <v>9</v>
      </c>
      <c r="R75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75" s="108">
        <f>IFERROR(INDEX(ImgDatabase!$I:$I, MATCH(Character[[#This Row],[NameHelper]], ImgDatabase!$E:$E, 0)), "")</f>
        <v>0</v>
      </c>
      <c r="U75" s="61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0</v>
      </c>
      <c r="W75" s="64">
        <f>IFERROR(INDEX(ImgDatabase!$K:$K, MATCH(Character[[#This Row],[NameHelper]], ImgDatabase!$E:$E, 0)), "")</f>
        <v>0</v>
      </c>
      <c r="X75" s="26">
        <f t="shared" si="18"/>
        <v>44</v>
      </c>
      <c r="Y75" s="26">
        <f t="shared" si="19"/>
        <v>22</v>
      </c>
      <c r="Z75" s="73">
        <f t="shared" si="20"/>
        <v>22</v>
      </c>
      <c r="AA75" s="26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75" s="26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75" s="26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75" s="26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22</v>
      </c>
      <c r="AE75" s="26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0</v>
      </c>
      <c r="AF75" s="26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0</v>
      </c>
      <c r="AG75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H75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I75" s="73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K75" s="112">
        <f>IFERROR(INDEX(ImgDatabase!$J:$J, MATCH(Character[[#This Row],[NameHelper]], ImgDatabase!$E:$E, 0)), "")</f>
        <v>0</v>
      </c>
      <c r="AL75" s="73">
        <f>SUM(WeeklyBoss[[#This Row],[NA]:[Burst]])</f>
        <v>8</v>
      </c>
      <c r="AM75" s="27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75" s="27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75" s="61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75" s="107" t="e" vm="55">
        <f>IFERROR(INDEX(ImgDatabase!$M:$M, MATCH(Character[[#This Row],[NameHelper]], ImgDatabase!$E:$E, 0)), "")</f>
        <v>#VALUE!</v>
      </c>
      <c r="AR75" s="61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75" s="107" t="e" vm="291">
        <f>IFERROR(INDEX(ImgDatabase!$N:$N, MATCH(Character[[#This Row],[NameHelper]], ImgDatabase!$E:$E, 0)), "")</f>
        <v>#VALUE!</v>
      </c>
      <c r="AU75" s="2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75" s="2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75" s="2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75" s="2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75" s="27">
        <f>IFERROR(INDEX(ImgDatabase!$L:$L, MATCH(Character[[#This Row],[NameHelper]], ImgDatabase!$E:$E, 0)), "")</f>
        <v>0</v>
      </c>
      <c r="BA75" s="8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75" s="2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75" s="61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75" s="82">
        <f t="shared" si="21"/>
        <v>38</v>
      </c>
      <c r="BE75" s="26">
        <f t="shared" si="22"/>
        <v>0</v>
      </c>
      <c r="BF75" s="73">
        <f t="shared" si="23"/>
        <v>0</v>
      </c>
      <c r="BG75" s="82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75" s="26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75" s="26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75" s="26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75" s="26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75" s="26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75" s="26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75" s="26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75" s="73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75" s="89">
        <f t="shared" si="24"/>
        <v>38</v>
      </c>
      <c r="BQ75" s="32">
        <f t="shared" si="25"/>
        <v>0</v>
      </c>
      <c r="BR75" s="90">
        <f t="shared" si="26"/>
        <v>0</v>
      </c>
      <c r="BT75" s="102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75" s="33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75" s="33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830000</v>
      </c>
      <c r="BW75" s="33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830000</v>
      </c>
      <c r="BX75" s="103">
        <f>SUM(Table40[[#This Row],[Ascension
Cost]:[Talent Cost
(Burst)]])</f>
        <v>1660000</v>
      </c>
    </row>
    <row r="76" spans="1:76" ht="30" customHeight="1" x14ac:dyDescent="0.25">
      <c r="A76" s="52">
        <f>SUBTOTAL(3,$D$3:Character[[#This Row],[NameHelper]])</f>
        <v>74</v>
      </c>
      <c r="B76" s="31" t="e" vm="880">
        <f>IFERROR(INDEX(ImgDatabase!$D:$D, MATCH(Character[[#This Row],[NameHelper]], ImgDatabase!$E:$E, 0)), "")</f>
        <v>#VALUE!</v>
      </c>
      <c r="C76" s="30" t="s">
        <v>754</v>
      </c>
      <c r="D76" s="30" t="s">
        <v>356</v>
      </c>
      <c r="E76" s="29" t="e" vm="164">
        <f>IFERROR(INDEX(ImgDatabase!$G:$G, MATCH(Character[[#This Row],[NameHelper]], ImgDatabase!$E:$E, 0)), "")</f>
        <v>#VALUE!</v>
      </c>
      <c r="F76" s="29" t="e" vm="5">
        <f>IFERROR(INDEX(CharacterDetailsImg[Weapon Type], MATCH(Character[[#This Row],[NameHelper]], CharacterDetailsImg[Name], 0)), "")</f>
        <v>#VALUE!</v>
      </c>
      <c r="G76" s="53">
        <f>IFERROR(INDEX(CharacterDetailsImg[Released Version], MATCH(Character[[#This Row],[NameHelper]], CharacterDetailsImg[Name], 0)), "")</f>
        <v>6</v>
      </c>
      <c r="H76" s="108">
        <v>81</v>
      </c>
      <c r="I76" s="29">
        <v>1</v>
      </c>
      <c r="J76" s="29">
        <v>1</v>
      </c>
      <c r="K76" s="40">
        <v>1</v>
      </c>
      <c r="M76" s="108">
        <v>81</v>
      </c>
      <c r="N76" s="29">
        <v>1</v>
      </c>
      <c r="O76" s="29">
        <v>9</v>
      </c>
      <c r="P76" s="40">
        <v>9</v>
      </c>
      <c r="R76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76" s="108">
        <f>IFERROR(INDEX(ImgDatabase!$I:$I, MATCH(Character[[#This Row],[NameHelper]], ImgDatabase!$E:$E, 0)), "")</f>
        <v>0</v>
      </c>
      <c r="U76" s="40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0</v>
      </c>
      <c r="W76" s="64">
        <f>IFERROR(INDEX(ImgDatabase!$K:$K, MATCH(Character[[#This Row],[NameHelper]], ImgDatabase!$E:$E, 0)), "")</f>
        <v>0</v>
      </c>
      <c r="X76" s="28">
        <f t="shared" si="18"/>
        <v>44</v>
      </c>
      <c r="Y76" s="28">
        <f t="shared" si="19"/>
        <v>43</v>
      </c>
      <c r="Z76" s="72">
        <f t="shared" si="20"/>
        <v>25</v>
      </c>
      <c r="AA76" s="28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76" s="28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76" s="28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76" s="28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22</v>
      </c>
      <c r="AE76" s="28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21</v>
      </c>
      <c r="AF76" s="28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3</v>
      </c>
      <c r="AG76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H76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I76" s="72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K76" s="64">
        <f>IFERROR(INDEX(ImgDatabase!$J:$J, MATCH(Character[[#This Row],[NameHelper]], ImgDatabase!$E:$E, 0)), "")</f>
        <v>0</v>
      </c>
      <c r="AL76" s="72">
        <f>SUM(WeeklyBoss[[#This Row],[NA]:[Burst]])</f>
        <v>8</v>
      </c>
      <c r="AM76" s="2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76" s="2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76" s="40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76" s="108" t="e" vm="55">
        <f>IFERROR(INDEX(ImgDatabase!$M:$M, MATCH(Character[[#This Row],[NameHelper]], ImgDatabase!$E:$E, 0)), "")</f>
        <v>#VALUE!</v>
      </c>
      <c r="AR76" s="40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76" s="108" t="e" vm="291">
        <f>IFERROR(INDEX(ImgDatabase!$N:$N, MATCH(Character[[#This Row],[NameHelper]], ImgDatabase!$E:$E, 0)), "")</f>
        <v>#VALUE!</v>
      </c>
      <c r="AU76" s="2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76" s="2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76" s="2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76" s="2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76" s="29">
        <f>IFERROR(INDEX(ImgDatabase!$L:$L, MATCH(Character[[#This Row],[NameHelper]], ImgDatabase!$E:$E, 0)), "")</f>
        <v>0</v>
      </c>
      <c r="BA76" s="39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76" s="2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76" s="40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76" s="71">
        <f t="shared" si="21"/>
        <v>38</v>
      </c>
      <c r="BE76" s="28">
        <f t="shared" si="22"/>
        <v>44</v>
      </c>
      <c r="BF76" s="72">
        <f t="shared" si="23"/>
        <v>12</v>
      </c>
      <c r="BG76" s="71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76" s="2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76" s="2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76" s="2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76" s="2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76" s="2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76" s="2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76" s="2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76" s="72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76" s="91">
        <f t="shared" si="24"/>
        <v>38</v>
      </c>
      <c r="BQ76" s="34">
        <f t="shared" si="25"/>
        <v>44</v>
      </c>
      <c r="BR76" s="92">
        <f t="shared" si="26"/>
        <v>12</v>
      </c>
      <c r="BT76" s="100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76" s="35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76" s="35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76" s="35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76" s="101">
        <f>SUM(Table40[[#This Row],[Ascension
Cost]:[Talent Cost
(Burst)]])</f>
        <v>1905000</v>
      </c>
    </row>
    <row r="77" spans="1:76" ht="30" customHeight="1" x14ac:dyDescent="0.25">
      <c r="A77" s="52">
        <f>SUBTOTAL(3,$D$3:Character[[#This Row],[NameHelper]])</f>
        <v>75</v>
      </c>
      <c r="B77" s="31" t="e" vm="881">
        <f>IFERROR(INDEX(ImgDatabase!$D:$D, MATCH(Character[[#This Row],[NameHelper]], ImgDatabase!$E:$E, 0)), "")</f>
        <v>#VALUE!</v>
      </c>
      <c r="C77" s="30" t="s">
        <v>475</v>
      </c>
      <c r="D77" s="30" t="s">
        <v>475</v>
      </c>
      <c r="E77" s="29" t="e" vm="131">
        <f>IFERROR(INDEX(ImgDatabase!$G:$G, MATCH(Character[[#This Row],[NameHelper]], ImgDatabase!$E:$E, 0)), "")</f>
        <v>#VALUE!</v>
      </c>
      <c r="F77" s="29" t="e" vm="359">
        <f>IFERROR(INDEX(CharacterDetailsImg[Weapon Type], MATCH(Character[[#This Row],[NameHelper]], CharacterDetailsImg[Name], 0)), "")</f>
        <v>#VALUE!</v>
      </c>
      <c r="G77" s="53">
        <f>IFERROR(INDEX(CharacterDetailsImg[Released Version], MATCH(Character[[#This Row],[NameHelper]], CharacterDetailsImg[Name], 0)), "")</f>
        <v>1</v>
      </c>
      <c r="H77" s="108">
        <v>90</v>
      </c>
      <c r="I77" s="29">
        <v>1</v>
      </c>
      <c r="J77" s="29">
        <v>9</v>
      </c>
      <c r="K77" s="40">
        <v>9</v>
      </c>
      <c r="M77" s="108">
        <v>81</v>
      </c>
      <c r="N77" s="29">
        <v>1</v>
      </c>
      <c r="O77" s="29">
        <v>9</v>
      </c>
      <c r="P77" s="40">
        <v>9</v>
      </c>
      <c r="R77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77" s="108" t="e" vm="132">
        <f>IFERROR(INDEX(ImgDatabase!$I:$I, MATCH(Character[[#This Row],[NameHelper]], ImgDatabase!$E:$E, 0)), "")</f>
        <v>#VALUE!</v>
      </c>
      <c r="U77" s="61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0</v>
      </c>
      <c r="W77" s="64" t="e" vm="9">
        <f>IFERROR(INDEX(ImgDatabase!$K:$K, MATCH(Character[[#This Row],[NameHelper]], ImgDatabase!$E:$E, 0)), "")</f>
        <v>#VALUE!</v>
      </c>
      <c r="X77" s="26">
        <f t="shared" si="18"/>
        <v>0</v>
      </c>
      <c r="Y77" s="26">
        <f t="shared" si="19"/>
        <v>0</v>
      </c>
      <c r="Z77" s="73">
        <f t="shared" si="20"/>
        <v>0</v>
      </c>
      <c r="AA77" s="26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77" s="26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77" s="26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77" s="26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0</v>
      </c>
      <c r="AE77" s="26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0</v>
      </c>
      <c r="AF77" s="26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0</v>
      </c>
      <c r="AG77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H77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I77" s="73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K77" s="112" t="e" vm="281">
        <f>IFERROR(INDEX(ImgDatabase!$J:$J, MATCH(Character[[#This Row],[NameHelper]], ImgDatabase!$E:$E, 0)), "")</f>
        <v>#VALUE!</v>
      </c>
      <c r="AL77" s="73">
        <f>SUM(WeeklyBoss[[#This Row],[NA]:[Burst]])</f>
        <v>0</v>
      </c>
      <c r="AM77" s="27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77" s="27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77" s="61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77" s="107" t="e" vm="11">
        <f>IFERROR(INDEX(ImgDatabase!$M:$M, MATCH(Character[[#This Row],[NameHelper]], ImgDatabase!$E:$E, 0)), "")</f>
        <v>#VALUE!</v>
      </c>
      <c r="AR77" s="61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77" s="107" t="e" vm="135">
        <f>IFERROR(INDEX(ImgDatabase!$N:$N, MATCH(Character[[#This Row],[NameHelper]], ImgDatabase!$E:$E, 0)), "")</f>
        <v>#VALUE!</v>
      </c>
      <c r="AU77" s="2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77" s="2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77" s="2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77" s="2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77" s="27" t="e" vm="469">
        <f>IFERROR(INDEX(ImgDatabase!$L:$L, MATCH(Character[[#This Row],[NameHelper]], ImgDatabase!$E:$E, 0)), "")</f>
        <v>#VALUE!</v>
      </c>
      <c r="BA77" s="8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77" s="2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77" s="61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77" s="82">
        <f t="shared" si="21"/>
        <v>0</v>
      </c>
      <c r="BE77" s="26">
        <f t="shared" si="22"/>
        <v>0</v>
      </c>
      <c r="BF77" s="73">
        <f t="shared" si="23"/>
        <v>0</v>
      </c>
      <c r="BG77" s="82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77" s="26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77" s="26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77" s="26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77" s="26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77" s="26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77" s="26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77" s="26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77" s="73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77" s="89">
        <f t="shared" si="24"/>
        <v>0</v>
      </c>
      <c r="BQ77" s="32">
        <f t="shared" si="25"/>
        <v>0</v>
      </c>
      <c r="BR77" s="90">
        <f t="shared" si="26"/>
        <v>0</v>
      </c>
      <c r="BT77" s="102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77" s="33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77" s="33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77" s="33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77" s="103">
        <f>SUM(Table40[[#This Row],[Ascension
Cost]:[Talent Cost
(Burst)]])</f>
        <v>0</v>
      </c>
    </row>
    <row r="78" spans="1:76" ht="30" customHeight="1" x14ac:dyDescent="0.25">
      <c r="A78" s="52">
        <f>SUBTOTAL(3,$D$3:Character[[#This Row],[NameHelper]])</f>
        <v>76</v>
      </c>
      <c r="B78" s="31" t="e" vm="882">
        <f>IFERROR(INDEX(ImgDatabase!$D:$D, MATCH(Character[[#This Row],[NameHelper]], ImgDatabase!$E:$E, 0)), "")</f>
        <v>#VALUE!</v>
      </c>
      <c r="C78" s="30" t="s">
        <v>568</v>
      </c>
      <c r="D78" s="30" t="s">
        <v>568</v>
      </c>
      <c r="E78" s="29" t="e" vm="131">
        <f>IFERROR(INDEX(ImgDatabase!$G:$G, MATCH(Character[[#This Row],[NameHelper]], ImgDatabase!$E:$E, 0)), "")</f>
        <v>#VALUE!</v>
      </c>
      <c r="F78" s="29" t="e" vm="557">
        <f>IFERROR(INDEX(CharacterDetailsImg[Weapon Type], MATCH(Character[[#This Row],[NameHelper]], CharacterDetailsImg[Name], 0)), "")</f>
        <v>#VALUE!</v>
      </c>
      <c r="G78" s="53">
        <f>IFERROR(INDEX(CharacterDetailsImg[Released Version], MATCH(Character[[#This Row],[NameHelper]], CharacterDetailsImg[Name], 0)), "")</f>
        <v>3.3</v>
      </c>
      <c r="H78" s="108">
        <v>90</v>
      </c>
      <c r="I78" s="29">
        <v>10</v>
      </c>
      <c r="J78" s="29">
        <v>10</v>
      </c>
      <c r="K78" s="40">
        <v>10</v>
      </c>
      <c r="M78" s="108">
        <v>81</v>
      </c>
      <c r="N78" s="29">
        <v>1</v>
      </c>
      <c r="O78" s="29">
        <v>9</v>
      </c>
      <c r="P78" s="40">
        <v>9</v>
      </c>
      <c r="R78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78" s="108" t="e" vm="249">
        <f>IFERROR(INDEX(ImgDatabase!$I:$I, MATCH(Character[[#This Row],[NameHelper]], ImgDatabase!$E:$E, 0)), "")</f>
        <v>#VALUE!</v>
      </c>
      <c r="U78" s="40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0</v>
      </c>
      <c r="W78" s="64" t="e" vm="270">
        <f>IFERROR(INDEX(ImgDatabase!$K:$K, MATCH(Character[[#This Row],[NameHelper]], ImgDatabase!$E:$E, 0)), "")</f>
        <v>#VALUE!</v>
      </c>
      <c r="X78" s="28">
        <f t="shared" si="18"/>
        <v>0</v>
      </c>
      <c r="Y78" s="28">
        <f t="shared" si="19"/>
        <v>0</v>
      </c>
      <c r="Z78" s="72">
        <f t="shared" si="20"/>
        <v>0</v>
      </c>
      <c r="AA78" s="28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78" s="28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78" s="28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78" s="28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0</v>
      </c>
      <c r="AE78" s="28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0</v>
      </c>
      <c r="AF78" s="28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0</v>
      </c>
      <c r="AG78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H78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I78" s="72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K78" s="64" t="e" vm="450">
        <f>IFERROR(INDEX(ImgDatabase!$J:$J, MATCH(Character[[#This Row],[NameHelper]], ImgDatabase!$E:$E, 0)), "")</f>
        <v>#VALUE!</v>
      </c>
      <c r="AL78" s="72">
        <f>SUM(WeeklyBoss[[#This Row],[NA]:[Burst]])</f>
        <v>0</v>
      </c>
      <c r="AM78" s="2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78" s="2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78" s="40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78" s="108" t="e" vm="384">
        <f>IFERROR(INDEX(ImgDatabase!$M:$M, MATCH(Character[[#This Row],[NameHelper]], ImgDatabase!$E:$E, 0)), "")</f>
        <v>#VALUE!</v>
      </c>
      <c r="AR78" s="40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78" s="108" t="e" vm="135">
        <f>IFERROR(INDEX(ImgDatabase!$N:$N, MATCH(Character[[#This Row],[NameHelper]], ImgDatabase!$E:$E, 0)), "")</f>
        <v>#VALUE!</v>
      </c>
      <c r="AU78" s="2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78" s="2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78" s="2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78" s="2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78" s="29" t="e" vm="183">
        <f>IFERROR(INDEX(ImgDatabase!$L:$L, MATCH(Character[[#This Row],[NameHelper]], ImgDatabase!$E:$E, 0)), "")</f>
        <v>#VALUE!</v>
      </c>
      <c r="BA78" s="39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78" s="2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78" s="40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78" s="71">
        <f t="shared" si="21"/>
        <v>0</v>
      </c>
      <c r="BE78" s="28">
        <f t="shared" si="22"/>
        <v>0</v>
      </c>
      <c r="BF78" s="72">
        <f t="shared" si="23"/>
        <v>0</v>
      </c>
      <c r="BG78" s="71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78" s="2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78" s="2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78" s="2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78" s="2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78" s="2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78" s="2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78" s="2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78" s="72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78" s="91">
        <f t="shared" si="24"/>
        <v>0</v>
      </c>
      <c r="BQ78" s="34">
        <f t="shared" si="25"/>
        <v>0</v>
      </c>
      <c r="BR78" s="92">
        <f t="shared" si="26"/>
        <v>0</v>
      </c>
      <c r="BT78" s="100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78" s="35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78" s="35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78" s="35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78" s="101">
        <f>SUM(Table40[[#This Row],[Ascension
Cost]:[Talent Cost
(Burst)]])</f>
        <v>0</v>
      </c>
    </row>
    <row r="79" spans="1:76" ht="30" customHeight="1" x14ac:dyDescent="0.25">
      <c r="A79" s="52">
        <f>SUBTOTAL(3,$D$3:Character[[#This Row],[NameHelper]])</f>
        <v>77</v>
      </c>
      <c r="B79" s="31" t="e" vm="883">
        <f>IFERROR(INDEX(ImgDatabase!$D:$D, MATCH(Character[[#This Row],[NameHelper]], ImgDatabase!$E:$E, 0)), "")</f>
        <v>#VALUE!</v>
      </c>
      <c r="C79" s="30" t="s">
        <v>570</v>
      </c>
      <c r="D79" s="30" t="s">
        <v>570</v>
      </c>
      <c r="E79" s="29" t="e" vm="164">
        <f>IFERROR(INDEX(ImgDatabase!$G:$G, MATCH(Character[[#This Row],[NameHelper]], ImgDatabase!$E:$E, 0)), "")</f>
        <v>#VALUE!</v>
      </c>
      <c r="F79" s="29" t="e" vm="557">
        <f>IFERROR(INDEX(CharacterDetailsImg[Weapon Type], MATCH(Character[[#This Row],[NameHelper]], CharacterDetailsImg[Name], 0)), "")</f>
        <v>#VALUE!</v>
      </c>
      <c r="G79" s="53">
        <f>IFERROR(INDEX(CharacterDetailsImg[Released Version], MATCH(Character[[#This Row],[NameHelper]], CharacterDetailsImg[Name], 0)), "")</f>
        <v>4.0999999999999996</v>
      </c>
      <c r="H79" s="108">
        <v>0</v>
      </c>
      <c r="I79" s="29">
        <v>0</v>
      </c>
      <c r="J79" s="29">
        <v>0</v>
      </c>
      <c r="K79" s="40">
        <v>0</v>
      </c>
      <c r="M79" s="108">
        <v>81</v>
      </c>
      <c r="N79" s="29">
        <v>1</v>
      </c>
      <c r="O79" s="29">
        <v>9</v>
      </c>
      <c r="P79" s="40">
        <v>9</v>
      </c>
      <c r="R79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79" s="108" t="e" vm="565">
        <f>IFERROR(INDEX(ImgDatabase!$I:$I, MATCH(Character[[#This Row],[NameHelper]], ImgDatabase!$E:$E, 0)), "")</f>
        <v>#VALUE!</v>
      </c>
      <c r="U79" s="61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0</v>
      </c>
      <c r="W79" s="64" t="e" vm="259">
        <f>IFERROR(INDEX(ImgDatabase!$K:$K, MATCH(Character[[#This Row],[NameHelper]], ImgDatabase!$E:$E, 0)), "")</f>
        <v>#VALUE!</v>
      </c>
      <c r="X79" s="26">
        <f t="shared" si="18"/>
        <v>0</v>
      </c>
      <c r="Y79" s="26">
        <f t="shared" si="19"/>
        <v>0</v>
      </c>
      <c r="Z79" s="73">
        <f t="shared" si="20"/>
        <v>0</v>
      </c>
      <c r="AA79" s="26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79" s="26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79" s="26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79" s="26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0</v>
      </c>
      <c r="AE79" s="26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0</v>
      </c>
      <c r="AF79" s="26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0</v>
      </c>
      <c r="AG79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H79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I79" s="73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K79" s="112" t="e" vm="440">
        <f>IFERROR(INDEX(ImgDatabase!$J:$J, MATCH(Character[[#This Row],[NameHelper]], ImgDatabase!$E:$E, 0)), "")</f>
        <v>#VALUE!</v>
      </c>
      <c r="AL79" s="73">
        <f>SUM(WeeklyBoss[[#This Row],[NA]:[Burst]])</f>
        <v>0</v>
      </c>
      <c r="AM79" s="27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79" s="27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79" s="61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79" s="107" t="e" vm="591">
        <f>IFERROR(INDEX(ImgDatabase!$M:$M, MATCH(Character[[#This Row],[NameHelper]], ImgDatabase!$E:$E, 0)), "")</f>
        <v>#VALUE!</v>
      </c>
      <c r="AR79" s="61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79" s="107" t="e" vm="168">
        <f>IFERROR(INDEX(ImgDatabase!$N:$N, MATCH(Character[[#This Row],[NameHelper]], ImgDatabase!$E:$E, 0)), "")</f>
        <v>#VALUE!</v>
      </c>
      <c r="AU79" s="2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79" s="2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79" s="2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79" s="2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79" s="27" t="e" vm="260">
        <f>IFERROR(INDEX(ImgDatabase!$L:$L, MATCH(Character[[#This Row],[NameHelper]], ImgDatabase!$E:$E, 0)), "")</f>
        <v>#VALUE!</v>
      </c>
      <c r="BA79" s="8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79" s="2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79" s="61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79" s="82">
        <f t="shared" si="21"/>
        <v>0</v>
      </c>
      <c r="BE79" s="26">
        <f t="shared" si="22"/>
        <v>0</v>
      </c>
      <c r="BF79" s="73">
        <f t="shared" si="23"/>
        <v>0</v>
      </c>
      <c r="BG79" s="82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79" s="26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79" s="26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79" s="26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79" s="26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79" s="26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79" s="26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79" s="26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79" s="73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79" s="89">
        <f t="shared" si="24"/>
        <v>0</v>
      </c>
      <c r="BQ79" s="32">
        <f t="shared" si="25"/>
        <v>0</v>
      </c>
      <c r="BR79" s="90">
        <f t="shared" si="26"/>
        <v>0</v>
      </c>
      <c r="BT79" s="102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79" s="33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79" s="33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79" s="33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79" s="103">
        <f>SUM(Table40[[#This Row],[Ascension
Cost]:[Talent Cost
(Burst)]])</f>
        <v>0</v>
      </c>
    </row>
    <row r="80" spans="1:76" ht="30" customHeight="1" x14ac:dyDescent="0.25">
      <c r="A80" s="52">
        <f>SUBTOTAL(3,$D$3:Character[[#This Row],[NameHelper]])</f>
        <v>78</v>
      </c>
      <c r="B80" s="31" t="e" vm="884">
        <f>IFERROR(INDEX(ImgDatabase!$D:$D, MATCH(Character[[#This Row],[NameHelper]], ImgDatabase!$E:$E, 0)), "")</f>
        <v>#VALUE!</v>
      </c>
      <c r="C80" s="30" t="s">
        <v>596</v>
      </c>
      <c r="D80" s="30" t="s">
        <v>596</v>
      </c>
      <c r="E80" s="29" t="e" vm="50">
        <f>IFERROR(INDEX(ImgDatabase!$G:$G, MATCH(Character[[#This Row],[NameHelper]], ImgDatabase!$E:$E, 0)), "")</f>
        <v>#VALUE!</v>
      </c>
      <c r="F80" s="29" t="e" vm="551">
        <f>IFERROR(INDEX(CharacterDetailsImg[Weapon Type], MATCH(Character[[#This Row],[NameHelper]], CharacterDetailsImg[Name], 0)), "")</f>
        <v>#VALUE!</v>
      </c>
      <c r="G80" s="53">
        <f>IFERROR(INDEX(CharacterDetailsImg[Released Version], MATCH(Character[[#This Row],[NameHelper]], CharacterDetailsImg[Name], 0)), "")</f>
        <v>1</v>
      </c>
      <c r="H80" s="108">
        <v>90</v>
      </c>
      <c r="I80" s="29">
        <v>1</v>
      </c>
      <c r="J80" s="29">
        <v>9</v>
      </c>
      <c r="K80" s="40">
        <v>9</v>
      </c>
      <c r="M80" s="108">
        <v>81</v>
      </c>
      <c r="N80" s="29">
        <v>1</v>
      </c>
      <c r="O80" s="29">
        <v>9</v>
      </c>
      <c r="P80" s="40">
        <v>9</v>
      </c>
      <c r="R80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80" s="108" t="e" vm="51">
        <f>IFERROR(INDEX(ImgDatabase!$I:$I, MATCH(Character[[#This Row],[NameHelper]], ImgDatabase!$E:$E, 0)), "")</f>
        <v>#VALUE!</v>
      </c>
      <c r="U80" s="40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0</v>
      </c>
      <c r="W80" s="64" t="e" vm="151">
        <f>IFERROR(INDEX(ImgDatabase!$K:$K, MATCH(Character[[#This Row],[NameHelper]], ImgDatabase!$E:$E, 0)), "")</f>
        <v>#VALUE!</v>
      </c>
      <c r="X80" s="28">
        <f t="shared" si="18"/>
        <v>0</v>
      </c>
      <c r="Y80" s="28">
        <f t="shared" si="19"/>
        <v>0</v>
      </c>
      <c r="Z80" s="72">
        <f t="shared" si="20"/>
        <v>0</v>
      </c>
      <c r="AA80" s="28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80" s="28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80" s="28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80" s="28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0</v>
      </c>
      <c r="AE80" s="28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0</v>
      </c>
      <c r="AF80" s="28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0</v>
      </c>
      <c r="AG80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H80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I80" s="72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K80" s="64" t="e" vm="536">
        <f>IFERROR(INDEX(ImgDatabase!$J:$J, MATCH(Character[[#This Row],[NameHelper]], ImgDatabase!$E:$E, 0)), "")</f>
        <v>#VALUE!</v>
      </c>
      <c r="AL80" s="72">
        <f>SUM(WeeklyBoss[[#This Row],[NA]:[Burst]])</f>
        <v>0</v>
      </c>
      <c r="AM80" s="2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80" s="2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80" s="40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80" s="108" t="e" vm="624">
        <f>IFERROR(INDEX(ImgDatabase!$M:$M, MATCH(Character[[#This Row],[NameHelper]], ImgDatabase!$E:$E, 0)), "")</f>
        <v>#VALUE!</v>
      </c>
      <c r="AR80" s="40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80" s="108" t="e" vm="56">
        <f>IFERROR(INDEX(ImgDatabase!$N:$N, MATCH(Character[[#This Row],[NameHelper]], ImgDatabase!$E:$E, 0)), "")</f>
        <v>#VALUE!</v>
      </c>
      <c r="AU80" s="2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80" s="2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80" s="2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80" s="2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80" s="29" t="e" vm="469">
        <f>IFERROR(INDEX(ImgDatabase!$L:$L, MATCH(Character[[#This Row],[NameHelper]], ImgDatabase!$E:$E, 0)), "")</f>
        <v>#VALUE!</v>
      </c>
      <c r="BA80" s="39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80" s="2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80" s="40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80" s="71">
        <f t="shared" si="21"/>
        <v>0</v>
      </c>
      <c r="BE80" s="28">
        <f t="shared" si="22"/>
        <v>0</v>
      </c>
      <c r="BF80" s="72">
        <f t="shared" si="23"/>
        <v>0</v>
      </c>
      <c r="BG80" s="71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80" s="2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80" s="2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80" s="2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80" s="2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80" s="2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80" s="2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80" s="2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80" s="72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80" s="91">
        <f t="shared" si="24"/>
        <v>0</v>
      </c>
      <c r="BQ80" s="34">
        <f t="shared" si="25"/>
        <v>0</v>
      </c>
      <c r="BR80" s="92">
        <f t="shared" si="26"/>
        <v>0</v>
      </c>
      <c r="BT80" s="100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80" s="35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80" s="35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80" s="35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80" s="101">
        <f>SUM(Table40[[#This Row],[Ascension
Cost]:[Talent Cost
(Burst)]])</f>
        <v>0</v>
      </c>
    </row>
    <row r="81" spans="1:76" ht="30" customHeight="1" x14ac:dyDescent="0.25">
      <c r="A81" s="52">
        <f>SUBTOTAL(3,$D$3:Character[[#This Row],[NameHelper]])</f>
        <v>79</v>
      </c>
      <c r="B81" s="31" t="e" vm="885">
        <f>IFERROR(INDEX(ImgDatabase!$D:$D, MATCH(Character[[#This Row],[NameHelper]], ImgDatabase!$E:$E, 0)), "")</f>
        <v>#VALUE!</v>
      </c>
      <c r="C81" s="30" t="s">
        <v>572</v>
      </c>
      <c r="D81" s="30" t="s">
        <v>572</v>
      </c>
      <c r="E81" s="29" t="e" vm="131">
        <f>IFERROR(INDEX(ImgDatabase!$G:$G, MATCH(Character[[#This Row],[NameHelper]], ImgDatabase!$E:$E, 0)), "")</f>
        <v>#VALUE!</v>
      </c>
      <c r="F81" s="29" t="e" vm="557">
        <f>IFERROR(INDEX(CharacterDetailsImg[Weapon Type], MATCH(Character[[#This Row],[NameHelper]], CharacterDetailsImg[Name], 0)), "")</f>
        <v>#VALUE!</v>
      </c>
      <c r="G81" s="53">
        <f>IFERROR(INDEX(CharacterDetailsImg[Released Version], MATCH(Character[[#This Row],[NameHelper]], CharacterDetailsImg[Name], 0)), "")</f>
        <v>4.4000000000000004</v>
      </c>
      <c r="H81" s="108">
        <v>80</v>
      </c>
      <c r="I81" s="29">
        <v>1</v>
      </c>
      <c r="J81" s="29">
        <v>1</v>
      </c>
      <c r="K81" s="40">
        <v>1</v>
      </c>
      <c r="M81" s="108">
        <v>81</v>
      </c>
      <c r="N81" s="29">
        <v>1</v>
      </c>
      <c r="O81" s="29">
        <v>9</v>
      </c>
      <c r="P81" s="40">
        <v>9</v>
      </c>
      <c r="R81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10</v>
      </c>
      <c r="T81" s="108" t="e" vm="449">
        <f>IFERROR(INDEX(ImgDatabase!$I:$I, MATCH(Character[[#This Row],[NameHelper]], ImgDatabase!$E:$E, 0)), "")</f>
        <v>#VALUE!</v>
      </c>
      <c r="U81" s="61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20</v>
      </c>
      <c r="W81" s="64" t="e" vm="349">
        <f>IFERROR(INDEX(ImgDatabase!$K:$K, MATCH(Character[[#This Row],[NameHelper]], ImgDatabase!$E:$E, 0)), "")</f>
        <v>#VALUE!</v>
      </c>
      <c r="X81" s="26">
        <f t="shared" si="18"/>
        <v>44</v>
      </c>
      <c r="Y81" s="26">
        <f t="shared" si="19"/>
        <v>43</v>
      </c>
      <c r="Z81" s="73">
        <f t="shared" si="20"/>
        <v>25</v>
      </c>
      <c r="AA81" s="26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81" s="26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81" s="26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81" s="26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22</v>
      </c>
      <c r="AE81" s="26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21</v>
      </c>
      <c r="AF81" s="26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3</v>
      </c>
      <c r="AG81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H81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I81" s="73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K81" s="112" t="e" vm="594">
        <f>IFERROR(INDEX(ImgDatabase!$J:$J, MATCH(Character[[#This Row],[NameHelper]], ImgDatabase!$E:$E, 0)), "")</f>
        <v>#VALUE!</v>
      </c>
      <c r="AL81" s="73">
        <f>SUM(WeeklyBoss[[#This Row],[NA]:[Burst]])</f>
        <v>8</v>
      </c>
      <c r="AM81" s="27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81" s="27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81" s="61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81" s="107" t="e" vm="595">
        <f>IFERROR(INDEX(ImgDatabase!$M:$M, MATCH(Character[[#This Row],[NameHelper]], ImgDatabase!$E:$E, 0)), "")</f>
        <v>#VALUE!</v>
      </c>
      <c r="AR81" s="61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60</v>
      </c>
      <c r="AT81" s="107" t="e" vm="135">
        <f>IFERROR(INDEX(ImgDatabase!$N:$N, MATCH(Character[[#This Row],[NameHelper]], ImgDatabase!$E:$E, 0)), "")</f>
        <v>#VALUE!</v>
      </c>
      <c r="AU81" s="2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81" s="2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81" s="2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81" s="2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81" s="27" t="e" vm="10">
        <f>IFERROR(INDEX(ImgDatabase!$L:$L, MATCH(Character[[#This Row],[NameHelper]], ImgDatabase!$E:$E, 0)), "")</f>
        <v>#VALUE!</v>
      </c>
      <c r="BA81" s="8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24</v>
      </c>
      <c r="BB81" s="2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81" s="61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81" s="82">
        <f t="shared" si="21"/>
        <v>38</v>
      </c>
      <c r="BE81" s="26">
        <f t="shared" si="22"/>
        <v>44</v>
      </c>
      <c r="BF81" s="73">
        <f t="shared" si="23"/>
        <v>12</v>
      </c>
      <c r="BG81" s="82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81" s="26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81" s="26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81" s="26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81" s="26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81" s="26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81" s="26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81" s="26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81" s="73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81" s="89">
        <f t="shared" si="24"/>
        <v>62</v>
      </c>
      <c r="BQ81" s="32">
        <f t="shared" si="25"/>
        <v>44</v>
      </c>
      <c r="BR81" s="90">
        <f t="shared" si="26"/>
        <v>12</v>
      </c>
      <c r="BT81" s="102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156635</v>
      </c>
      <c r="BU81" s="33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81" s="33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81" s="33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81" s="103">
        <f>SUM(Table40[[#This Row],[Ascension
Cost]:[Talent Cost
(Burst)]])</f>
        <v>2061635</v>
      </c>
    </row>
    <row r="82" spans="1:76" ht="30" customHeight="1" x14ac:dyDescent="0.25">
      <c r="A82" s="52">
        <f>SUBTOTAL(3,$D$3:Character[[#This Row],[NameHelper]])</f>
        <v>80</v>
      </c>
      <c r="B82" s="31" t="e" vm="886">
        <f>IFERROR(INDEX(ImgDatabase!$D:$D, MATCH(Character[[#This Row],[NameHelper]], ImgDatabase!$E:$E, 0)), "")</f>
        <v>#VALUE!</v>
      </c>
      <c r="C82" s="30" t="s">
        <v>598</v>
      </c>
      <c r="D82" s="30" t="s">
        <v>598</v>
      </c>
      <c r="E82" s="29" t="e" vm="131">
        <f>IFERROR(INDEX(ImgDatabase!$G:$G, MATCH(Character[[#This Row],[NameHelper]], ImgDatabase!$E:$E, 0)), "")</f>
        <v>#VALUE!</v>
      </c>
      <c r="F82" s="29" t="e" vm="551">
        <f>IFERROR(INDEX(CharacterDetailsImg[Weapon Type], MATCH(Character[[#This Row],[NameHelper]], CharacterDetailsImg[Name], 0)), "")</f>
        <v>#VALUE!</v>
      </c>
      <c r="G82" s="53">
        <f>IFERROR(INDEX(CharacterDetailsImg[Released Version], MATCH(Character[[#This Row],[NameHelper]], CharacterDetailsImg[Name], 0)), "")</f>
        <v>1.3</v>
      </c>
      <c r="H82" s="108">
        <v>0</v>
      </c>
      <c r="I82" s="29">
        <v>0</v>
      </c>
      <c r="J82" s="29">
        <v>0</v>
      </c>
      <c r="K82" s="40">
        <v>0</v>
      </c>
      <c r="M82" s="108">
        <v>81</v>
      </c>
      <c r="N82" s="29">
        <v>1</v>
      </c>
      <c r="O82" s="29">
        <v>9</v>
      </c>
      <c r="P82" s="40">
        <v>9</v>
      </c>
      <c r="R82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82" s="108" t="e" vm="601">
        <f>IFERROR(INDEX(ImgDatabase!$I:$I, MATCH(Character[[#This Row],[NameHelper]], ImgDatabase!$E:$E, 0)), "")</f>
        <v>#VALUE!</v>
      </c>
      <c r="U82" s="40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0</v>
      </c>
      <c r="W82" s="64" t="e" vm="211">
        <f>IFERROR(INDEX(ImgDatabase!$K:$K, MATCH(Character[[#This Row],[NameHelper]], ImgDatabase!$E:$E, 0)), "")</f>
        <v>#VALUE!</v>
      </c>
      <c r="X82" s="28">
        <f t="shared" si="18"/>
        <v>0</v>
      </c>
      <c r="Y82" s="28">
        <f t="shared" si="19"/>
        <v>0</v>
      </c>
      <c r="Z82" s="72">
        <f t="shared" si="20"/>
        <v>0</v>
      </c>
      <c r="AA82" s="28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82" s="28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82" s="28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82" s="28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0</v>
      </c>
      <c r="AE82" s="28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0</v>
      </c>
      <c r="AF82" s="28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0</v>
      </c>
      <c r="AG82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H82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I82" s="72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K82" s="64" t="e" vm="418">
        <f>IFERROR(INDEX(ImgDatabase!$J:$J, MATCH(Character[[#This Row],[NameHelper]], ImgDatabase!$E:$E, 0)), "")</f>
        <v>#VALUE!</v>
      </c>
      <c r="AL82" s="72">
        <f>SUM(WeeklyBoss[[#This Row],[NA]:[Burst]])</f>
        <v>0</v>
      </c>
      <c r="AM82" s="2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82" s="2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82" s="40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82" s="108" t="e" vm="419">
        <f>IFERROR(INDEX(ImgDatabase!$M:$M, MATCH(Character[[#This Row],[NameHelper]], ImgDatabase!$E:$E, 0)), "")</f>
        <v>#VALUE!</v>
      </c>
      <c r="AR82" s="40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82" s="108" t="e" vm="135">
        <f>IFERROR(INDEX(ImgDatabase!$N:$N, MATCH(Character[[#This Row],[NameHelper]], ImgDatabase!$E:$E, 0)), "")</f>
        <v>#VALUE!</v>
      </c>
      <c r="AU82" s="2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82" s="2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82" s="2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82" s="2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82" s="29" t="e" vm="469">
        <f>IFERROR(INDEX(ImgDatabase!$L:$L, MATCH(Character[[#This Row],[NameHelper]], ImgDatabase!$E:$E, 0)), "")</f>
        <v>#VALUE!</v>
      </c>
      <c r="BA82" s="39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82" s="2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82" s="40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82" s="71">
        <f t="shared" si="21"/>
        <v>0</v>
      </c>
      <c r="BE82" s="28">
        <f t="shared" si="22"/>
        <v>0</v>
      </c>
      <c r="BF82" s="72">
        <f t="shared" si="23"/>
        <v>0</v>
      </c>
      <c r="BG82" s="71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82" s="2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82" s="2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82" s="2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82" s="2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82" s="2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82" s="2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82" s="2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82" s="72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82" s="91">
        <f t="shared" si="24"/>
        <v>0</v>
      </c>
      <c r="BQ82" s="34">
        <f t="shared" si="25"/>
        <v>0</v>
      </c>
      <c r="BR82" s="92">
        <f t="shared" si="26"/>
        <v>0</v>
      </c>
      <c r="BT82" s="100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82" s="35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82" s="35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82" s="35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82" s="101">
        <f>SUM(Table40[[#This Row],[Ascension
Cost]:[Talent Cost
(Burst)]])</f>
        <v>0</v>
      </c>
    </row>
    <row r="83" spans="1:76" ht="30" customHeight="1" x14ac:dyDescent="0.25">
      <c r="A83" s="52">
        <f>SUBTOTAL(3,$D$3:Character[[#This Row],[NameHelper]])</f>
        <v>81</v>
      </c>
      <c r="B83" s="31" t="e" vm="887">
        <f>IFERROR(INDEX(ImgDatabase!$D:$D, MATCH(Character[[#This Row],[NameHelper]], ImgDatabase!$E:$E, 0)), "")</f>
        <v>#VALUE!</v>
      </c>
      <c r="C83" s="30" t="s">
        <v>367</v>
      </c>
      <c r="D83" s="30" t="s">
        <v>367</v>
      </c>
      <c r="E83" s="29" t="e" vm="112">
        <f>IFERROR(INDEX(ImgDatabase!$G:$G, MATCH(Character[[#This Row],[NameHelper]], ImgDatabase!$E:$E, 0)), "")</f>
        <v>#VALUE!</v>
      </c>
      <c r="F83" s="29" t="e" vm="5">
        <f>IFERROR(INDEX(CharacterDetailsImg[Weapon Type], MATCH(Character[[#This Row],[NameHelper]], CharacterDetailsImg[Name], 0)), "")</f>
        <v>#VALUE!</v>
      </c>
      <c r="G83" s="53">
        <f>IFERROR(INDEX(CharacterDetailsImg[Released Version], MATCH(Character[[#This Row],[NameHelper]], CharacterDetailsImg[Name], 0)), "")</f>
        <v>1</v>
      </c>
      <c r="H83" s="108">
        <v>90</v>
      </c>
      <c r="I83" s="29">
        <v>1</v>
      </c>
      <c r="J83" s="29">
        <v>9</v>
      </c>
      <c r="K83" s="40">
        <v>10</v>
      </c>
      <c r="M83" s="108">
        <v>81</v>
      </c>
      <c r="N83" s="29">
        <v>1</v>
      </c>
      <c r="O83" s="29">
        <v>9</v>
      </c>
      <c r="P83" s="40">
        <v>9</v>
      </c>
      <c r="R83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83" s="108" t="e" vm="348">
        <f>IFERROR(INDEX(ImgDatabase!$I:$I, MATCH(Character[[#This Row],[NameHelper]], ImgDatabase!$E:$E, 0)), "")</f>
        <v>#VALUE!</v>
      </c>
      <c r="U83" s="61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0</v>
      </c>
      <c r="W83" s="64" t="e" vm="349">
        <f>IFERROR(INDEX(ImgDatabase!$K:$K, MATCH(Character[[#This Row],[NameHelper]], ImgDatabase!$E:$E, 0)), "")</f>
        <v>#VALUE!</v>
      </c>
      <c r="X83" s="26">
        <f t="shared" si="18"/>
        <v>0</v>
      </c>
      <c r="Y83" s="26">
        <f t="shared" si="19"/>
        <v>0</v>
      </c>
      <c r="Z83" s="73">
        <f t="shared" si="20"/>
        <v>0</v>
      </c>
      <c r="AA83" s="26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83" s="26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83" s="26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83" s="26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0</v>
      </c>
      <c r="AE83" s="26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0</v>
      </c>
      <c r="AF83" s="26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0</v>
      </c>
      <c r="AG83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H83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I83" s="73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K83" s="112" t="e" vm="281">
        <f>IFERROR(INDEX(ImgDatabase!$J:$J, MATCH(Character[[#This Row],[NameHelper]], ImgDatabase!$E:$E, 0)), "")</f>
        <v>#VALUE!</v>
      </c>
      <c r="AL83" s="73">
        <f>SUM(WeeklyBoss[[#This Row],[NA]:[Burst]])</f>
        <v>0</v>
      </c>
      <c r="AM83" s="27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83" s="27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83" s="61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83" s="107" t="e" vm="350">
        <f>IFERROR(INDEX(ImgDatabase!$M:$M, MATCH(Character[[#This Row],[NameHelper]], ImgDatabase!$E:$E, 0)), "")</f>
        <v>#VALUE!</v>
      </c>
      <c r="AR83" s="61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83" s="107" t="e" vm="117">
        <f>IFERROR(INDEX(ImgDatabase!$N:$N, MATCH(Character[[#This Row],[NameHelper]], ImgDatabase!$E:$E, 0)), "")</f>
        <v>#VALUE!</v>
      </c>
      <c r="AU83" s="2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83" s="2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83" s="2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83" s="2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83" s="27" t="e" vm="133">
        <f>IFERROR(INDEX(ImgDatabase!$L:$L, MATCH(Character[[#This Row],[NameHelper]], ImgDatabase!$E:$E, 0)), "")</f>
        <v>#VALUE!</v>
      </c>
      <c r="BA83" s="8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83" s="2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83" s="61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83" s="82">
        <f t="shared" si="21"/>
        <v>0</v>
      </c>
      <c r="BE83" s="26">
        <f t="shared" si="22"/>
        <v>0</v>
      </c>
      <c r="BF83" s="73">
        <f t="shared" si="23"/>
        <v>0</v>
      </c>
      <c r="BG83" s="82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83" s="26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83" s="26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83" s="26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83" s="26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83" s="26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83" s="26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83" s="26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83" s="73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83" s="89">
        <f t="shared" si="24"/>
        <v>0</v>
      </c>
      <c r="BQ83" s="32">
        <f t="shared" si="25"/>
        <v>0</v>
      </c>
      <c r="BR83" s="90">
        <f t="shared" si="26"/>
        <v>0</v>
      </c>
      <c r="BT83" s="102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83" s="33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83" s="33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83" s="33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83" s="103">
        <f>SUM(Table40[[#This Row],[Ascension
Cost]:[Talent Cost
(Burst)]])</f>
        <v>0</v>
      </c>
    </row>
    <row r="84" spans="1:76" ht="30" customHeight="1" x14ac:dyDescent="0.25">
      <c r="A84" s="52">
        <f>SUBTOTAL(3,$D$3:Character[[#This Row],[NameHelper]])</f>
        <v>82</v>
      </c>
      <c r="B84" s="31" t="e" vm="888">
        <f>IFERROR(INDEX(ImgDatabase!$D:$D, MATCH(Character[[#This Row],[NameHelper]], ImgDatabase!$E:$E, 0)), "")</f>
        <v>#VALUE!</v>
      </c>
      <c r="C84" s="30" t="s">
        <v>536</v>
      </c>
      <c r="D84" s="30" t="s">
        <v>536</v>
      </c>
      <c r="E84" s="29" t="e" vm="50">
        <f>IFERROR(INDEX(ImgDatabase!$G:$G, MATCH(Character[[#This Row],[NameHelper]], ImgDatabase!$E:$E, 0)), "")</f>
        <v>#VALUE!</v>
      </c>
      <c r="F84" s="29" t="e" vm="487">
        <f>IFERROR(INDEX(CharacterDetailsImg[Weapon Type], MATCH(Character[[#This Row],[NameHelper]], CharacterDetailsImg[Name], 0)), "")</f>
        <v>#VALUE!</v>
      </c>
      <c r="G84" s="53">
        <f>IFERROR(INDEX(CharacterDetailsImg[Released Version], MATCH(Character[[#This Row],[NameHelper]], CharacterDetailsImg[Name], 0)), "")</f>
        <v>1.1000000000000001</v>
      </c>
      <c r="H84" s="108">
        <v>40</v>
      </c>
      <c r="I84" s="29">
        <v>1</v>
      </c>
      <c r="J84" s="29">
        <v>1</v>
      </c>
      <c r="K84" s="40">
        <v>1</v>
      </c>
      <c r="M84" s="108">
        <v>81</v>
      </c>
      <c r="N84" s="29">
        <v>1</v>
      </c>
      <c r="O84" s="29">
        <v>9</v>
      </c>
      <c r="P84" s="40">
        <v>9</v>
      </c>
      <c r="R84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222</v>
      </c>
      <c r="T84" s="108" t="e" vm="51">
        <f>IFERROR(INDEX(ImgDatabase!$I:$I, MATCH(Character[[#This Row],[NameHelper]], ImgDatabase!$E:$E, 0)), "")</f>
        <v>#VALUE!</v>
      </c>
      <c r="U84" s="40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46</v>
      </c>
      <c r="W84" s="64" t="e" vm="349">
        <f>IFERROR(INDEX(ImgDatabase!$K:$K, MATCH(Character[[#This Row],[NameHelper]], ImgDatabase!$E:$E, 0)), "")</f>
        <v>#VALUE!</v>
      </c>
      <c r="X84" s="28">
        <f t="shared" si="18"/>
        <v>44</v>
      </c>
      <c r="Y84" s="28">
        <f t="shared" si="19"/>
        <v>43</v>
      </c>
      <c r="Z84" s="72">
        <f t="shared" si="20"/>
        <v>25</v>
      </c>
      <c r="AA84" s="28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84" s="28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84" s="28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84" s="28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22</v>
      </c>
      <c r="AE84" s="28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21</v>
      </c>
      <c r="AF84" s="28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3</v>
      </c>
      <c r="AG84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H84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I84" s="72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K84" s="64" t="e" vm="8">
        <f>IFERROR(INDEX(ImgDatabase!$J:$J, MATCH(Character[[#This Row],[NameHelper]], ImgDatabase!$E:$E, 0)), "")</f>
        <v>#VALUE!</v>
      </c>
      <c r="AL84" s="72">
        <f>SUM(WeeklyBoss[[#This Row],[NA]:[Burst]])</f>
        <v>8</v>
      </c>
      <c r="AM84" s="2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84" s="2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84" s="40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84" s="108" t="e" vm="282">
        <f>IFERROR(INDEX(ImgDatabase!$M:$M, MATCH(Character[[#This Row],[NameHelper]], ImgDatabase!$E:$E, 0)), "")</f>
        <v>#VALUE!</v>
      </c>
      <c r="AR84" s="40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T84" s="108" t="e" vm="56">
        <f>IFERROR(INDEX(ImgDatabase!$N:$N, MATCH(Character[[#This Row],[NameHelper]], ImgDatabase!$E:$E, 0)), "")</f>
        <v>#VALUE!</v>
      </c>
      <c r="AU84" s="2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84" s="2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W84" s="2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X84" s="2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84" s="29" t="e" vm="54">
        <f>IFERROR(INDEX(ImgDatabase!$L:$L, MATCH(Character[[#This Row],[NameHelper]], ImgDatabase!$E:$E, 0)), "")</f>
        <v>#VALUE!</v>
      </c>
      <c r="BA84" s="39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BB84" s="2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BC84" s="40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BD84" s="71">
        <f t="shared" si="21"/>
        <v>38</v>
      </c>
      <c r="BE84" s="28">
        <f t="shared" si="22"/>
        <v>44</v>
      </c>
      <c r="BF84" s="72">
        <f t="shared" si="23"/>
        <v>12</v>
      </c>
      <c r="BG84" s="71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84" s="2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84" s="2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84" s="2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84" s="2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84" s="2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84" s="2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84" s="2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84" s="72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84" s="91">
        <f t="shared" si="24"/>
        <v>74</v>
      </c>
      <c r="BQ84" s="34">
        <f t="shared" si="25"/>
        <v>74</v>
      </c>
      <c r="BR84" s="92">
        <f t="shared" si="26"/>
        <v>27</v>
      </c>
      <c r="BT84" s="100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1284840</v>
      </c>
      <c r="BU84" s="35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84" s="35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84" s="35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84" s="101">
        <f>SUM(Table40[[#This Row],[Ascension
Cost]:[Talent Cost
(Burst)]])</f>
        <v>3189840</v>
      </c>
    </row>
    <row r="85" spans="1:76" ht="30" customHeight="1" x14ac:dyDescent="0.25">
      <c r="A85" s="52">
        <f>SUBTOTAL(3,$D$3:Character[[#This Row],[NameHelper]])</f>
        <v>83</v>
      </c>
      <c r="B85" s="31" t="e" vm="889">
        <f>IFERROR(INDEX(ImgDatabase!$D:$D, MATCH(Character[[#This Row],[NameHelper]], ImgDatabase!$E:$E, 0)), "")</f>
        <v>#VALUE!</v>
      </c>
      <c r="C85" s="30" t="s">
        <v>755</v>
      </c>
      <c r="D85" s="30" t="s">
        <v>574</v>
      </c>
      <c r="E85" s="29" t="e" vm="91">
        <f>IFERROR(INDEX(ImgDatabase!$G:$G, MATCH(Character[[#This Row],[NameHelper]], ImgDatabase!$E:$E, 0)), "")</f>
        <v>#VALUE!</v>
      </c>
      <c r="F85" s="29" t="e" vm="557">
        <f>IFERROR(INDEX(CharacterDetailsImg[Weapon Type], MATCH(Character[[#This Row],[NameHelper]], CharacterDetailsImg[Name], 0)), "")</f>
        <v>#VALUE!</v>
      </c>
      <c r="G85" s="53">
        <f>IFERROR(INDEX(CharacterDetailsImg[Released Version], MATCH(Character[[#This Row],[NameHelper]], CharacterDetailsImg[Name], 0)), "")</f>
        <v>2.5</v>
      </c>
      <c r="H85" s="108">
        <v>0</v>
      </c>
      <c r="I85" s="29">
        <v>0</v>
      </c>
      <c r="J85" s="29">
        <v>0</v>
      </c>
      <c r="K85" s="40">
        <v>0</v>
      </c>
      <c r="M85" s="108">
        <v>81</v>
      </c>
      <c r="N85" s="29">
        <v>1</v>
      </c>
      <c r="O85" s="29">
        <v>9</v>
      </c>
      <c r="P85" s="40">
        <v>9</v>
      </c>
      <c r="R85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85" s="108" t="e" vm="598">
        <f>IFERROR(INDEX(ImgDatabase!$I:$I, MATCH(Character[[#This Row],[NameHelper]], ImgDatabase!$E:$E, 0)), "")</f>
        <v>#VALUE!</v>
      </c>
      <c r="U85" s="61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0</v>
      </c>
      <c r="W85" s="64" t="e" vm="74">
        <f>IFERROR(INDEX(ImgDatabase!$K:$K, MATCH(Character[[#This Row],[NameHelper]], ImgDatabase!$E:$E, 0)), "")</f>
        <v>#VALUE!</v>
      </c>
      <c r="X85" s="26">
        <f t="shared" si="18"/>
        <v>0</v>
      </c>
      <c r="Y85" s="26">
        <f t="shared" si="19"/>
        <v>0</v>
      </c>
      <c r="Z85" s="73">
        <f t="shared" si="20"/>
        <v>0</v>
      </c>
      <c r="AA85" s="26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85" s="26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85" s="26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85" s="26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0</v>
      </c>
      <c r="AE85" s="26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0</v>
      </c>
      <c r="AF85" s="26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0</v>
      </c>
      <c r="AG85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H85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I85" s="73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K85" s="112" t="e" vm="463">
        <f>IFERROR(INDEX(ImgDatabase!$J:$J, MATCH(Character[[#This Row],[NameHelper]], ImgDatabase!$E:$E, 0)), "")</f>
        <v>#VALUE!</v>
      </c>
      <c r="AL85" s="73">
        <f>SUM(WeeklyBoss[[#This Row],[NA]:[Burst]])</f>
        <v>0</v>
      </c>
      <c r="AM85" s="27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85" s="27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85" s="61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85" s="107" t="e" vm="152">
        <f>IFERROR(INDEX(ImgDatabase!$M:$M, MATCH(Character[[#This Row],[NameHelper]], ImgDatabase!$E:$E, 0)), "")</f>
        <v>#VALUE!</v>
      </c>
      <c r="AR85" s="61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85" s="107" t="e" vm="97">
        <f>IFERROR(INDEX(ImgDatabase!$N:$N, MATCH(Character[[#This Row],[NameHelper]], ImgDatabase!$E:$E, 0)), "")</f>
        <v>#VALUE!</v>
      </c>
      <c r="AU85" s="2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85" s="2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85" s="2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85" s="2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85" s="27" t="e" vm="183">
        <f>IFERROR(INDEX(ImgDatabase!$L:$L, MATCH(Character[[#This Row],[NameHelper]], ImgDatabase!$E:$E, 0)), "")</f>
        <v>#VALUE!</v>
      </c>
      <c r="BA85" s="8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85" s="2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85" s="61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85" s="82">
        <f t="shared" si="21"/>
        <v>0</v>
      </c>
      <c r="BE85" s="26">
        <f t="shared" si="22"/>
        <v>0</v>
      </c>
      <c r="BF85" s="73">
        <f t="shared" si="23"/>
        <v>0</v>
      </c>
      <c r="BG85" s="82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85" s="26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85" s="26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85" s="26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85" s="26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85" s="26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85" s="26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85" s="26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85" s="73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85" s="89">
        <f t="shared" si="24"/>
        <v>0</v>
      </c>
      <c r="BQ85" s="32">
        <f t="shared" si="25"/>
        <v>0</v>
      </c>
      <c r="BR85" s="90">
        <f t="shared" si="26"/>
        <v>0</v>
      </c>
      <c r="BT85" s="102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85" s="33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85" s="33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85" s="33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85" s="103">
        <f>SUM(Table40[[#This Row],[Ascension
Cost]:[Talent Cost
(Burst)]])</f>
        <v>0</v>
      </c>
    </row>
    <row r="86" spans="1:76" ht="30" customHeight="1" x14ac:dyDescent="0.25">
      <c r="A86" s="52">
        <f>SUBTOTAL(3,$D$3:Character[[#This Row],[NameHelper]])</f>
        <v>84</v>
      </c>
      <c r="B86" s="31" t="e" vm="890">
        <f>IFERROR(INDEX(ImgDatabase!$D:$D, MATCH(Character[[#This Row],[NameHelper]], ImgDatabase!$E:$E, 0)), "")</f>
        <v>#VALUE!</v>
      </c>
      <c r="C86" s="30" t="s">
        <v>576</v>
      </c>
      <c r="D86" s="30" t="s">
        <v>576</v>
      </c>
      <c r="E86" s="29" t="e" vm="50">
        <f>IFERROR(INDEX(ImgDatabase!$G:$G, MATCH(Character[[#This Row],[NameHelper]], ImgDatabase!$E:$E, 0)), "")</f>
        <v>#VALUE!</v>
      </c>
      <c r="F86" s="29" t="e" vm="557">
        <f>IFERROR(INDEX(CharacterDetailsImg[Weapon Type], MATCH(Character[[#This Row],[NameHelper]], CharacterDetailsImg[Name], 0)), "")</f>
        <v>#VALUE!</v>
      </c>
      <c r="G86" s="53">
        <f>IFERROR(INDEX(CharacterDetailsImg[Released Version], MATCH(Character[[#This Row],[NameHelper]], CharacterDetailsImg[Name], 0)), "")</f>
        <v>1.5</v>
      </c>
      <c r="H86" s="108">
        <v>80</v>
      </c>
      <c r="I86" s="29">
        <v>4</v>
      </c>
      <c r="J86" s="29">
        <v>4</v>
      </c>
      <c r="K86" s="40">
        <v>4</v>
      </c>
      <c r="M86" s="108">
        <v>81</v>
      </c>
      <c r="N86" s="29">
        <v>1</v>
      </c>
      <c r="O86" s="29">
        <v>9</v>
      </c>
      <c r="P86" s="40">
        <v>9</v>
      </c>
      <c r="R86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10</v>
      </c>
      <c r="T86" s="108" t="e" vm="601">
        <f>IFERROR(INDEX(ImgDatabase!$I:$I, MATCH(Character[[#This Row],[NameHelper]], ImgDatabase!$E:$E, 0)), "")</f>
        <v>#VALUE!</v>
      </c>
      <c r="U86" s="40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20</v>
      </c>
      <c r="W86" s="64" t="e" vm="349">
        <f>IFERROR(INDEX(ImgDatabase!$K:$K, MATCH(Character[[#This Row],[NameHelper]], ImgDatabase!$E:$E, 0)), "")</f>
        <v>#VALUE!</v>
      </c>
      <c r="X86" s="28">
        <f t="shared" si="18"/>
        <v>44</v>
      </c>
      <c r="Y86" s="28">
        <f t="shared" si="19"/>
        <v>37</v>
      </c>
      <c r="Z86" s="72">
        <f t="shared" si="20"/>
        <v>22</v>
      </c>
      <c r="AA86" s="28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86" s="28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86" s="28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86" s="28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22</v>
      </c>
      <c r="AE86" s="28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15</v>
      </c>
      <c r="AF86" s="28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0</v>
      </c>
      <c r="AG86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H86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I86" s="72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K86" s="64" t="e" vm="181">
        <f>IFERROR(INDEX(ImgDatabase!$J:$J, MATCH(Character[[#This Row],[NameHelper]], ImgDatabase!$E:$E, 0)), "")</f>
        <v>#VALUE!</v>
      </c>
      <c r="AL86" s="72">
        <f>SUM(WeeklyBoss[[#This Row],[NA]:[Burst]])</f>
        <v>8</v>
      </c>
      <c r="AM86" s="2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86" s="2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86" s="40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86" s="108" t="e" vm="495">
        <f>IFERROR(INDEX(ImgDatabase!$M:$M, MATCH(Character[[#This Row],[NameHelper]], ImgDatabase!$E:$E, 0)), "")</f>
        <v>#VALUE!</v>
      </c>
      <c r="AR86" s="40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60</v>
      </c>
      <c r="AT86" s="108" t="e" vm="56">
        <f>IFERROR(INDEX(ImgDatabase!$N:$N, MATCH(Character[[#This Row],[NameHelper]], ImgDatabase!$E:$E, 0)), "")</f>
        <v>#VALUE!</v>
      </c>
      <c r="AU86" s="2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86" s="2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86" s="2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86" s="2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86" s="29" t="e" vm="54">
        <f>IFERROR(INDEX(ImgDatabase!$L:$L, MATCH(Character[[#This Row],[NameHelper]], ImgDatabase!$E:$E, 0)), "")</f>
        <v>#VALUE!</v>
      </c>
      <c r="BA86" s="39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24</v>
      </c>
      <c r="BB86" s="2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86" s="40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86" s="71">
        <f t="shared" si="21"/>
        <v>38</v>
      </c>
      <c r="BE86" s="28">
        <f t="shared" si="22"/>
        <v>30</v>
      </c>
      <c r="BF86" s="72">
        <f t="shared" si="23"/>
        <v>0</v>
      </c>
      <c r="BG86" s="71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86" s="2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86" s="2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86" s="2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86" s="2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15</v>
      </c>
      <c r="BL86" s="2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86" s="2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86" s="2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15</v>
      </c>
      <c r="BO86" s="72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86" s="91">
        <f t="shared" si="24"/>
        <v>62</v>
      </c>
      <c r="BQ86" s="34">
        <f t="shared" si="25"/>
        <v>30</v>
      </c>
      <c r="BR86" s="92">
        <f t="shared" si="26"/>
        <v>0</v>
      </c>
      <c r="BT86" s="100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156635</v>
      </c>
      <c r="BU86" s="35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86" s="35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897500</v>
      </c>
      <c r="BW86" s="35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897500</v>
      </c>
      <c r="BX86" s="101">
        <f>SUM(Table40[[#This Row],[Ascension
Cost]:[Talent Cost
(Burst)]])</f>
        <v>1951635</v>
      </c>
    </row>
    <row r="87" spans="1:76" ht="30" customHeight="1" x14ac:dyDescent="0.25">
      <c r="A87" s="52">
        <f>SUBTOTAL(3,$D$3:Character[[#This Row],[NameHelper]])</f>
        <v>85</v>
      </c>
      <c r="B87" s="31" t="e" vm="891">
        <f>IFERROR(INDEX(ImgDatabase!$D:$D, MATCH(Character[[#This Row],[NameHelper]], ImgDatabase!$E:$E, 0)), "")</f>
        <v>#VALUE!</v>
      </c>
      <c r="C87" s="30" t="s">
        <v>600</v>
      </c>
      <c r="D87" s="30" t="s">
        <v>600</v>
      </c>
      <c r="E87" s="29" t="e" vm="28">
        <f>IFERROR(INDEX(ImgDatabase!$G:$G, MATCH(Character[[#This Row],[NameHelper]], ImgDatabase!$E:$E, 0)), "")</f>
        <v>#VALUE!</v>
      </c>
      <c r="F87" s="29" t="e" vm="551">
        <f>IFERROR(INDEX(CharacterDetailsImg[Weapon Type], MATCH(Character[[#This Row],[NameHelper]], CharacterDetailsImg[Name], 0)), "")</f>
        <v>#VALUE!</v>
      </c>
      <c r="G87" s="53">
        <f>IFERROR(INDEX(CharacterDetailsImg[Released Version], MATCH(Character[[#This Row],[NameHelper]], CharacterDetailsImg[Name], 0)), "")</f>
        <v>3.4</v>
      </c>
      <c r="H87" s="108">
        <v>21</v>
      </c>
      <c r="I87" s="29">
        <v>1</v>
      </c>
      <c r="J87" s="29">
        <v>1</v>
      </c>
      <c r="K87" s="40">
        <v>1</v>
      </c>
      <c r="M87" s="108">
        <v>81</v>
      </c>
      <c r="N87" s="29">
        <v>1</v>
      </c>
      <c r="O87" s="29">
        <v>9</v>
      </c>
      <c r="P87" s="40">
        <v>9</v>
      </c>
      <c r="R87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250</v>
      </c>
      <c r="T87" s="108" t="e" vm="527">
        <f>IFERROR(INDEX(ImgDatabase!$I:$I, MATCH(Character[[#This Row],[NameHelper]], ImgDatabase!$E:$E, 0)), "")</f>
        <v>#VALUE!</v>
      </c>
      <c r="U87" s="61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46</v>
      </c>
      <c r="W87" s="64" t="e" vm="151">
        <f>IFERROR(INDEX(ImgDatabase!$K:$K, MATCH(Character[[#This Row],[NameHelper]], ImgDatabase!$E:$E, 0)), "")</f>
        <v>#VALUE!</v>
      </c>
      <c r="X87" s="26">
        <f t="shared" si="18"/>
        <v>44</v>
      </c>
      <c r="Y87" s="26">
        <f t="shared" si="19"/>
        <v>43</v>
      </c>
      <c r="Z87" s="73">
        <f t="shared" si="20"/>
        <v>25</v>
      </c>
      <c r="AA87" s="26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87" s="26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87" s="26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87" s="26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22</v>
      </c>
      <c r="AE87" s="26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21</v>
      </c>
      <c r="AF87" s="26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3</v>
      </c>
      <c r="AG87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H87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I87" s="73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K87" s="112" t="e" vm="450">
        <f>IFERROR(INDEX(ImgDatabase!$J:$J, MATCH(Character[[#This Row],[NameHelper]], ImgDatabase!$E:$E, 0)), "")</f>
        <v>#VALUE!</v>
      </c>
      <c r="AL87" s="73">
        <f>SUM(WeeklyBoss[[#This Row],[NA]:[Burst]])</f>
        <v>8</v>
      </c>
      <c r="AM87" s="27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87" s="27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87" s="61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87" s="107" t="e" vm="624">
        <f>IFERROR(INDEX(ImgDatabase!$M:$M, MATCH(Character[[#This Row],[NameHelper]], ImgDatabase!$E:$E, 0)), "")</f>
        <v>#VALUE!</v>
      </c>
      <c r="AR87" s="61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T87" s="107" t="e" vm="34">
        <f>IFERROR(INDEX(ImgDatabase!$N:$N, MATCH(Character[[#This Row],[NameHelper]], ImgDatabase!$E:$E, 0)), "")</f>
        <v>#VALUE!</v>
      </c>
      <c r="AU87" s="2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87" s="2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W87" s="2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X87" s="2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87" s="27" t="e" vm="469">
        <f>IFERROR(INDEX(ImgDatabase!$L:$L, MATCH(Character[[#This Row],[NameHelper]], ImgDatabase!$E:$E, 0)), "")</f>
        <v>#VALUE!</v>
      </c>
      <c r="BA87" s="8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BB87" s="2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BC87" s="61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BD87" s="82">
        <f t="shared" si="21"/>
        <v>38</v>
      </c>
      <c r="BE87" s="26">
        <f t="shared" si="22"/>
        <v>44</v>
      </c>
      <c r="BF87" s="73">
        <f t="shared" si="23"/>
        <v>12</v>
      </c>
      <c r="BG87" s="82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87" s="26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87" s="26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87" s="26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87" s="26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87" s="26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87" s="26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87" s="26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87" s="73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87" s="89">
        <f t="shared" si="24"/>
        <v>74</v>
      </c>
      <c r="BQ87" s="32">
        <f t="shared" si="25"/>
        <v>74</v>
      </c>
      <c r="BR87" s="90">
        <f t="shared" si="26"/>
        <v>27</v>
      </c>
      <c r="BT87" s="102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1397530</v>
      </c>
      <c r="BU87" s="33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87" s="33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87" s="33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87" s="103">
        <f>SUM(Table40[[#This Row],[Ascension
Cost]:[Talent Cost
(Burst)]])</f>
        <v>3302530</v>
      </c>
    </row>
    <row r="88" spans="1:76" ht="30" customHeight="1" x14ac:dyDescent="0.25">
      <c r="A88" s="52">
        <f>SUBTOTAL(3,$D$3:Character[[#This Row],[NameHelper]])</f>
        <v>86</v>
      </c>
      <c r="B88" s="31" t="e" vm="892">
        <f>IFERROR(INDEX(ImgDatabase!$D:$D, MATCH(Character[[#This Row],[NameHelper]], ImgDatabase!$E:$E, 0)), "")</f>
        <v>#VALUE!</v>
      </c>
      <c r="C88" s="30" t="s">
        <v>480</v>
      </c>
      <c r="D88" s="30" t="s">
        <v>480</v>
      </c>
      <c r="E88" s="29" t="e" vm="112">
        <f>IFERROR(INDEX(ImgDatabase!$G:$G, MATCH(Character[[#This Row],[NameHelper]], ImgDatabase!$E:$E, 0)), "")</f>
        <v>#VALUE!</v>
      </c>
      <c r="F88" s="29" t="e" vm="359">
        <f>IFERROR(INDEX(CharacterDetailsImg[Weapon Type], MATCH(Character[[#This Row],[NameHelper]], CharacterDetailsImg[Name], 0)), "")</f>
        <v>#VALUE!</v>
      </c>
      <c r="G88" s="53">
        <f>IFERROR(INDEX(CharacterDetailsImg[Released Version], MATCH(Character[[#This Row],[NameHelper]], CharacterDetailsImg[Name], 0)), "")</f>
        <v>2.7</v>
      </c>
      <c r="H88" s="108">
        <v>90</v>
      </c>
      <c r="I88" s="29">
        <v>1</v>
      </c>
      <c r="J88" s="29">
        <v>9</v>
      </c>
      <c r="K88" s="40">
        <v>10</v>
      </c>
      <c r="M88" s="108">
        <v>81</v>
      </c>
      <c r="N88" s="29">
        <v>1</v>
      </c>
      <c r="O88" s="29">
        <v>9</v>
      </c>
      <c r="P88" s="40">
        <v>9</v>
      </c>
      <c r="R88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88" s="108" t="e" vm="238">
        <f>IFERROR(INDEX(ImgDatabase!$I:$I, MATCH(Character[[#This Row],[NameHelper]], ImgDatabase!$E:$E, 0)), "")</f>
        <v>#VALUE!</v>
      </c>
      <c r="U88" s="40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0</v>
      </c>
      <c r="W88" s="64" t="e" vm="211">
        <f>IFERROR(INDEX(ImgDatabase!$K:$K, MATCH(Character[[#This Row],[NameHelper]], ImgDatabase!$E:$E, 0)), "")</f>
        <v>#VALUE!</v>
      </c>
      <c r="X88" s="28">
        <f t="shared" si="18"/>
        <v>0</v>
      </c>
      <c r="Y88" s="28">
        <f t="shared" si="19"/>
        <v>0</v>
      </c>
      <c r="Z88" s="72">
        <f t="shared" si="20"/>
        <v>0</v>
      </c>
      <c r="AA88" s="28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88" s="28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88" s="28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88" s="28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0</v>
      </c>
      <c r="AE88" s="28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0</v>
      </c>
      <c r="AF88" s="28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0</v>
      </c>
      <c r="AG88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H88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I88" s="72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K88" s="64" t="e" vm="150">
        <f>IFERROR(INDEX(ImgDatabase!$J:$J, MATCH(Character[[#This Row],[NameHelper]], ImgDatabase!$E:$E, 0)), "")</f>
        <v>#VALUE!</v>
      </c>
      <c r="AL88" s="72">
        <f>SUM(WeeklyBoss[[#This Row],[NA]:[Burst]])</f>
        <v>0</v>
      </c>
      <c r="AM88" s="2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88" s="2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88" s="40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88" s="108" t="e" vm="457">
        <f>IFERROR(INDEX(ImgDatabase!$M:$M, MATCH(Character[[#This Row],[NameHelper]], ImgDatabase!$E:$E, 0)), "")</f>
        <v>#VALUE!</v>
      </c>
      <c r="AR88" s="40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88" s="108" t="e" vm="117">
        <f>IFERROR(INDEX(ImgDatabase!$N:$N, MATCH(Character[[#This Row],[NameHelper]], ImgDatabase!$E:$E, 0)), "")</f>
        <v>#VALUE!</v>
      </c>
      <c r="AU88" s="2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88" s="2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88" s="2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88" s="2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88" s="29" t="e" vm="442">
        <f>IFERROR(INDEX(ImgDatabase!$L:$L, MATCH(Character[[#This Row],[NameHelper]], ImgDatabase!$E:$E, 0)), "")</f>
        <v>#VALUE!</v>
      </c>
      <c r="BA88" s="39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88" s="2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88" s="40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88" s="71">
        <f t="shared" si="21"/>
        <v>0</v>
      </c>
      <c r="BE88" s="28">
        <f t="shared" si="22"/>
        <v>0</v>
      </c>
      <c r="BF88" s="72">
        <f t="shared" si="23"/>
        <v>0</v>
      </c>
      <c r="BG88" s="71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88" s="2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88" s="2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88" s="2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88" s="2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88" s="2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88" s="2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88" s="2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88" s="72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88" s="91">
        <f t="shared" si="24"/>
        <v>0</v>
      </c>
      <c r="BQ88" s="34">
        <f t="shared" si="25"/>
        <v>0</v>
      </c>
      <c r="BR88" s="92">
        <f t="shared" si="26"/>
        <v>0</v>
      </c>
      <c r="BT88" s="100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88" s="35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88" s="35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88" s="35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88" s="101">
        <f>SUM(Table40[[#This Row],[Ascension
Cost]:[Talent Cost
(Burst)]])</f>
        <v>0</v>
      </c>
    </row>
    <row r="89" spans="1:76" ht="30" customHeight="1" x14ac:dyDescent="0.25">
      <c r="A89" s="52">
        <f>SUBTOTAL(3,$D$3:Character[[#This Row],[NameHelper]])</f>
        <v>87</v>
      </c>
      <c r="B89" s="31" t="e" vm="893">
        <f>IFERROR(INDEX(ImgDatabase!$D:$D, MATCH(Character[[#This Row],[NameHelper]], ImgDatabase!$E:$E, 0)), "")</f>
        <v>#VALUE!</v>
      </c>
      <c r="C89" s="30" t="s">
        <v>756</v>
      </c>
      <c r="D89" s="30" t="s">
        <v>485</v>
      </c>
      <c r="E89" s="29" t="e" vm="50">
        <f>IFERROR(INDEX(ImgDatabase!$G:$G, MATCH(Character[[#This Row],[NameHelper]], ImgDatabase!$E:$E, 0)), "")</f>
        <v>#VALUE!</v>
      </c>
      <c r="F89" s="29" t="e" vm="359">
        <f>IFERROR(INDEX(CharacterDetailsImg[Weapon Type], MATCH(Character[[#This Row],[NameHelper]], CharacterDetailsImg[Name], 0)), "")</f>
        <v>#VALUE!</v>
      </c>
      <c r="G89" s="53">
        <f>IFERROR(INDEX(CharacterDetailsImg[Released Version], MATCH(Character[[#This Row],[NameHelper]], CharacterDetailsImg[Name], 0)), "")</f>
        <v>2</v>
      </c>
      <c r="H89" s="108">
        <v>90</v>
      </c>
      <c r="I89" s="29">
        <v>9</v>
      </c>
      <c r="J89" s="29">
        <v>9</v>
      </c>
      <c r="K89" s="40">
        <v>1</v>
      </c>
      <c r="M89" s="108">
        <v>81</v>
      </c>
      <c r="N89" s="29">
        <v>1</v>
      </c>
      <c r="O89" s="29">
        <v>9</v>
      </c>
      <c r="P89" s="40">
        <v>9</v>
      </c>
      <c r="R89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89" s="108" t="e" vm="480">
        <f>IFERROR(INDEX(ImgDatabase!$I:$I, MATCH(Character[[#This Row],[NameHelper]], ImgDatabase!$E:$E, 0)), "")</f>
        <v>#VALUE!</v>
      </c>
      <c r="U89" s="61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0</v>
      </c>
      <c r="W89" s="64" t="e" vm="225">
        <f>IFERROR(INDEX(ImgDatabase!$K:$K, MATCH(Character[[#This Row],[NameHelper]], ImgDatabase!$E:$E, 0)), "")</f>
        <v>#VALUE!</v>
      </c>
      <c r="X89" s="26">
        <f t="shared" si="18"/>
        <v>22</v>
      </c>
      <c r="Y89" s="26">
        <f t="shared" si="19"/>
        <v>22</v>
      </c>
      <c r="Z89" s="73">
        <f t="shared" si="20"/>
        <v>22</v>
      </c>
      <c r="AA89" s="26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89" s="26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89" s="26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89" s="26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0</v>
      </c>
      <c r="AE89" s="26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0</v>
      </c>
      <c r="AF89" s="26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0</v>
      </c>
      <c r="AG89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H89" s="26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I89" s="73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K89" s="112" t="e" vm="481">
        <f>IFERROR(INDEX(ImgDatabase!$J:$J, MATCH(Character[[#This Row],[NameHelper]], ImgDatabase!$E:$E, 0)), "")</f>
        <v>#VALUE!</v>
      </c>
      <c r="AL89" s="73">
        <f>SUM(WeeklyBoss[[#This Row],[NA]:[Burst]])</f>
        <v>4</v>
      </c>
      <c r="AM89" s="27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89" s="27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89" s="61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89" s="107" t="e" vm="240">
        <f>IFERROR(INDEX(ImgDatabase!$M:$M, MATCH(Character[[#This Row],[NameHelper]], ImgDatabase!$E:$E, 0)), "")</f>
        <v>#VALUE!</v>
      </c>
      <c r="AR89" s="61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89" s="107" t="e" vm="56">
        <f>IFERROR(INDEX(ImgDatabase!$N:$N, MATCH(Character[[#This Row],[NameHelper]], ImgDatabase!$E:$E, 0)), "")</f>
        <v>#VALUE!</v>
      </c>
      <c r="AU89" s="2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89" s="2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89" s="2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89" s="2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89" s="27" t="e" vm="10">
        <f>IFERROR(INDEX(ImgDatabase!$L:$L, MATCH(Character[[#This Row],[NameHelper]], ImgDatabase!$E:$E, 0)), "")</f>
        <v>#VALUE!</v>
      </c>
      <c r="BA89" s="8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89" s="2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89" s="61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89" s="82">
        <f t="shared" si="21"/>
        <v>19</v>
      </c>
      <c r="BE89" s="26">
        <f t="shared" si="22"/>
        <v>22</v>
      </c>
      <c r="BF89" s="73">
        <f t="shared" si="23"/>
        <v>6</v>
      </c>
      <c r="BG89" s="82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89" s="26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89" s="26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89" s="26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89" s="26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89" s="26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89" s="26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89" s="26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89" s="73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89" s="89">
        <f t="shared" si="24"/>
        <v>19</v>
      </c>
      <c r="BQ89" s="32">
        <f t="shared" si="25"/>
        <v>22</v>
      </c>
      <c r="BR89" s="90">
        <f t="shared" si="26"/>
        <v>6</v>
      </c>
      <c r="BT89" s="102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89" s="33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89" s="33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89" s="33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89" s="103">
        <f>SUM(Table40[[#This Row],[Ascension
Cost]:[Talent Cost
(Burst)]])</f>
        <v>952500</v>
      </c>
    </row>
    <row r="90" spans="1:76" ht="30" customHeight="1" x14ac:dyDescent="0.25">
      <c r="A90" s="52">
        <f>SUBTOTAL(3,$D$3:Character[[#This Row],[NameHelper]])</f>
        <v>88</v>
      </c>
      <c r="B90" s="31" t="e" vm="894">
        <f>IFERROR(INDEX(ImgDatabase!$D:$D, MATCH(Character[[#This Row],[NameHelper]], ImgDatabase!$E:$E, 0)), "")</f>
        <v>#VALUE!</v>
      </c>
      <c r="C90" s="30" t="s">
        <v>757</v>
      </c>
      <c r="D90" s="30" t="s">
        <v>602</v>
      </c>
      <c r="E90" s="29" t="e" vm="6">
        <f>IFERROR(INDEX(ImgDatabase!$G:$G, MATCH(Character[[#This Row],[NameHelper]], ImgDatabase!$E:$E, 0)), "")</f>
        <v>#VALUE!</v>
      </c>
      <c r="F90" s="29" t="e" vm="551">
        <f>IFERROR(INDEX(CharacterDetailsImg[Weapon Type], MATCH(Character[[#This Row],[NameHelper]], CharacterDetailsImg[Name], 0)), "")</f>
        <v>#VALUE!</v>
      </c>
      <c r="G90" s="53">
        <f>IFERROR(INDEX(CharacterDetailsImg[Released Version], MATCH(Character[[#This Row],[NameHelper]], CharacterDetailsImg[Name], 0)), "")</f>
        <v>2.4</v>
      </c>
      <c r="H90" s="108">
        <v>40</v>
      </c>
      <c r="I90" s="29">
        <v>1</v>
      </c>
      <c r="J90" s="29">
        <v>1</v>
      </c>
      <c r="K90" s="40">
        <v>1</v>
      </c>
      <c r="M90" s="108">
        <v>81</v>
      </c>
      <c r="N90" s="29">
        <v>1</v>
      </c>
      <c r="O90" s="29">
        <v>9</v>
      </c>
      <c r="P90" s="40">
        <v>9</v>
      </c>
      <c r="R90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222</v>
      </c>
      <c r="T90" s="108" t="e" vm="488">
        <f>IFERROR(INDEX(ImgDatabase!$I:$I, MATCH(Character[[#This Row],[NameHelper]], ImgDatabase!$E:$E, 0)), "")</f>
        <v>#VALUE!</v>
      </c>
      <c r="U90" s="40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46</v>
      </c>
      <c r="W90" s="64" t="e" vm="151">
        <f>IFERROR(INDEX(ImgDatabase!$K:$K, MATCH(Character[[#This Row],[NameHelper]], ImgDatabase!$E:$E, 0)), "")</f>
        <v>#VALUE!</v>
      </c>
      <c r="X90" s="28">
        <f t="shared" si="18"/>
        <v>44</v>
      </c>
      <c r="Y90" s="28">
        <f t="shared" si="19"/>
        <v>43</v>
      </c>
      <c r="Z90" s="72">
        <f t="shared" si="20"/>
        <v>25</v>
      </c>
      <c r="AA90" s="28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90" s="28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90" s="28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90" s="28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22</v>
      </c>
      <c r="AE90" s="28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21</v>
      </c>
      <c r="AF90" s="28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3</v>
      </c>
      <c r="AG90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H90" s="28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I90" s="72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22</v>
      </c>
      <c r="AK90" s="64" t="e" vm="432">
        <f>IFERROR(INDEX(ImgDatabase!$J:$J, MATCH(Character[[#This Row],[NameHelper]], ImgDatabase!$E:$E, 0)), "")</f>
        <v>#VALUE!</v>
      </c>
      <c r="AL90" s="72">
        <f>SUM(WeeklyBoss[[#This Row],[NA]:[Burst]])</f>
        <v>8</v>
      </c>
      <c r="AM90" s="2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90" s="2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90" s="40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90" s="108" t="e" vm="579">
        <f>IFERROR(INDEX(ImgDatabase!$M:$M, MATCH(Character[[#This Row],[NameHelper]], ImgDatabase!$E:$E, 0)), "")</f>
        <v>#VALUE!</v>
      </c>
      <c r="AR90" s="40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T90" s="108" t="e" vm="12">
        <f>IFERROR(INDEX(ImgDatabase!$N:$N, MATCH(Character[[#This Row],[NameHelper]], ImgDatabase!$E:$E, 0)), "")</f>
        <v>#VALUE!</v>
      </c>
      <c r="AU90" s="2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90" s="2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W90" s="2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X90" s="2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90" s="29" t="e" vm="133">
        <f>IFERROR(INDEX(ImgDatabase!$L:$L, MATCH(Character[[#This Row],[NameHelper]], ImgDatabase!$E:$E, 0)), "")</f>
        <v>#VALUE!</v>
      </c>
      <c r="BA90" s="39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BB90" s="2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BC90" s="40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BD90" s="71">
        <f t="shared" si="21"/>
        <v>38</v>
      </c>
      <c r="BE90" s="28">
        <f t="shared" si="22"/>
        <v>44</v>
      </c>
      <c r="BF90" s="72">
        <f t="shared" si="23"/>
        <v>12</v>
      </c>
      <c r="BG90" s="71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90" s="2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90" s="2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90" s="2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90" s="2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90" s="2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90" s="2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90" s="2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90" s="72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90" s="91">
        <f t="shared" si="24"/>
        <v>74</v>
      </c>
      <c r="BQ90" s="34">
        <f t="shared" si="25"/>
        <v>74</v>
      </c>
      <c r="BR90" s="92">
        <f t="shared" si="26"/>
        <v>27</v>
      </c>
      <c r="BT90" s="100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1284840</v>
      </c>
      <c r="BU90" s="35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90" s="35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90" s="35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90" s="101">
        <f>SUM(Table40[[#This Row],[Ascension
Cost]:[Talent Cost
(Burst)]])</f>
        <v>3189840</v>
      </c>
    </row>
    <row r="91" spans="1:76" ht="30" customHeight="1" thickBot="1" x14ac:dyDescent="0.3">
      <c r="A91" s="54">
        <f>SUBTOTAL(3,$D$3:Character[[#This Row],[NameHelper]])</f>
        <v>89</v>
      </c>
      <c r="B91" s="55" t="e" vm="895">
        <f>IFERROR(INDEX(ImgDatabase!$D:$D, MATCH(Character[[#This Row],[NameHelper]], ImgDatabase!$E:$E, 0)), "")</f>
        <v>#VALUE!</v>
      </c>
      <c r="C91" s="56" t="s">
        <v>604</v>
      </c>
      <c r="D91" s="56" t="s">
        <v>604</v>
      </c>
      <c r="E91" s="41" t="e" vm="6">
        <f>IFERROR(INDEX(ImgDatabase!$G:$G, MATCH(Character[[#This Row],[NameHelper]], ImgDatabase!$E:$E, 0)), "")</f>
        <v>#VALUE!</v>
      </c>
      <c r="F91" s="41" t="e" vm="551">
        <f>IFERROR(INDEX(CharacterDetailsImg[Weapon Type], MATCH(Character[[#This Row],[NameHelper]], CharacterDetailsImg[Name], 0)), "")</f>
        <v>#VALUE!</v>
      </c>
      <c r="G91" s="57">
        <f>IFERROR(INDEX(CharacterDetailsImg[Released Version], MATCH(Character[[#This Row],[NameHelper]], CharacterDetailsImg[Name], 0)), "")</f>
        <v>1.1000000000000001</v>
      </c>
      <c r="H91" s="116">
        <v>90</v>
      </c>
      <c r="I91" s="41">
        <v>1</v>
      </c>
      <c r="J91" s="41">
        <v>10</v>
      </c>
      <c r="K91" s="42">
        <v>9</v>
      </c>
      <c r="M91" s="116">
        <v>81</v>
      </c>
      <c r="N91" s="41">
        <v>1</v>
      </c>
      <c r="O91" s="41">
        <v>9</v>
      </c>
      <c r="P91" s="42">
        <v>9</v>
      </c>
      <c r="R91" s="28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91" s="108" t="e" vm="7">
        <f>IFERROR(INDEX(ImgDatabase!$I:$I, MATCH(Character[[#This Row],[NameHelper]], ImgDatabase!$E:$E, 0)), "")</f>
        <v>#VALUE!</v>
      </c>
      <c r="U91" s="61">
        <f>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</f>
        <v>0</v>
      </c>
      <c r="W91" s="114" t="e" vm="349">
        <f>IFERROR(INDEX(ImgDatabase!$K:$K, MATCH(Character[[#This Row],[NameHelper]], ImgDatabase!$E:$E, 0)), "")</f>
        <v>#VALUE!</v>
      </c>
      <c r="X91" s="74">
        <f t="shared" si="18"/>
        <v>0</v>
      </c>
      <c r="Y91" s="74">
        <f t="shared" si="19"/>
        <v>0</v>
      </c>
      <c r="Z91" s="75">
        <f t="shared" si="20"/>
        <v>0</v>
      </c>
      <c r="AA91" s="74">
        <f>IF(Character[[#This Row],[NA]]=0,0,IF(Target[[#This Row],[NA]]&lt;Character[[#This Row],[NA]],0,LOOKUP(Character[[#This Row],[NA]],TalentDatabase[Talent Level],TalentDatabase[4* Books])-LOOKUP(Target[[#This Row],[NA]],TalentDatabase[Talent Level],TalentDatabase[4* Books])))</f>
        <v>0</v>
      </c>
      <c r="AB91" s="74">
        <f>IF(Character[[#This Row],[NA]]=0,0,IF(Target[[#This Row],[NA]]&lt;Character[[#This Row],[NA]],0,LOOKUP(Character[[#This Row],[NA]],TalentDatabase[Talent Level],TalentDatabase[3* Books])-LOOKUP(Target[[#This Row],[NA]],TalentDatabase[Talent Level],TalentDatabase[3* Books])))</f>
        <v>0</v>
      </c>
      <c r="AC91" s="74">
        <f>IF(Character[[#This Row],[NA]]=0,0,IF(Target[[#This Row],[NA]]&lt;Character[[#This Row],[NA]],0,LOOKUP(Character[[#This Row],[NA]],TalentDatabase[Talent Level],TalentDatabase[2* Books])-LOOKUP(Target[[#This Row],[NA]],TalentDatabase[Talent Level],TalentDatabase[2* Books])))</f>
        <v>0</v>
      </c>
      <c r="AD91" s="74">
        <f>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</f>
        <v>0</v>
      </c>
      <c r="AE91" s="74">
        <f>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</f>
        <v>0</v>
      </c>
      <c r="AF91" s="74">
        <f>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</f>
        <v>0</v>
      </c>
      <c r="AG91" s="74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H91" s="74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I91" s="75">
        <f>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</f>
        <v>0</v>
      </c>
      <c r="AK91" s="113" t="e" vm="8">
        <f>IFERROR(INDEX(ImgDatabase!$J:$J, MATCH(Character[[#This Row],[NameHelper]], ImgDatabase!$E:$E, 0)), "")</f>
        <v>#VALUE!</v>
      </c>
      <c r="AL91" s="75">
        <f>SUM(WeeklyBoss[[#This Row],[NA]:[Burst]])</f>
        <v>0</v>
      </c>
      <c r="AM91" s="83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91" s="83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91" s="84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91" s="107" t="e" vm="212">
        <f>IFERROR(INDEX(ImgDatabase!$M:$M, MATCH(Character[[#This Row],[NameHelper]], ImgDatabase!$E:$E, 0)), "")</f>
        <v>#VALUE!</v>
      </c>
      <c r="AR91" s="61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91" s="107" t="e" vm="12">
        <f>IFERROR(INDEX(ImgDatabase!$N:$N, MATCH(Character[[#This Row],[NameHelper]], ImgDatabase!$E:$E, 0)), "")</f>
        <v>#VALUE!</v>
      </c>
      <c r="AU91" s="27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91" s="27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91" s="27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91" s="27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91" s="27" t="e" vm="469">
        <f>IFERROR(INDEX(ImgDatabase!$L:$L, MATCH(Character[[#This Row],[NameHelper]], ImgDatabase!$E:$E, 0)), "")</f>
        <v>#VALUE!</v>
      </c>
      <c r="BA91" s="8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91" s="27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91" s="61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91" s="82">
        <f t="shared" si="21"/>
        <v>0</v>
      </c>
      <c r="BE91" s="26">
        <f t="shared" si="22"/>
        <v>0</v>
      </c>
      <c r="BF91" s="73">
        <f t="shared" si="23"/>
        <v>0</v>
      </c>
      <c r="BG91" s="82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91" s="26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91" s="26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91" s="26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91" s="26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91" s="26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91" s="26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91" s="26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91" s="73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91" s="93">
        <f t="shared" si="24"/>
        <v>0</v>
      </c>
      <c r="BQ91" s="94">
        <f t="shared" si="25"/>
        <v>0</v>
      </c>
      <c r="BR91" s="95">
        <f t="shared" si="26"/>
        <v>0</v>
      </c>
      <c r="BT91" s="102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91" s="33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91" s="33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91" s="33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91" s="103">
        <f>SUM(Table40[[#This Row],[Ascension
Cost]:[Talent Cost
(Burst)]])</f>
        <v>0</v>
      </c>
    </row>
    <row r="92" spans="1:76" ht="15.75" thickBot="1" x14ac:dyDescent="0.3">
      <c r="A92" s="29"/>
      <c r="B92" s="29"/>
      <c r="C92" s="29"/>
      <c r="R92" s="79">
        <f>SUBTOTAL(109,Summary!$R$2:$R$91)</f>
        <v>6684</v>
      </c>
      <c r="T92" s="109" t="s">
        <v>758</v>
      </c>
      <c r="U92" s="66">
        <f>SUBTOTAL(109,WorldBoss[Need to Farm])</f>
        <v>1400</v>
      </c>
      <c r="W92" s="109" t="s">
        <v>758</v>
      </c>
      <c r="X92" s="67">
        <f>SUBTOTAL(109,TalentBook[4* Book])</f>
        <v>2078</v>
      </c>
      <c r="Y92" s="67">
        <f>SUBTOTAL(109,TalentBook[3* Book])</f>
        <v>1845</v>
      </c>
      <c r="Z92" s="68">
        <f>SUBTOTAL(109,TalentBook[2* Book])</f>
        <v>1146</v>
      </c>
      <c r="AA92" s="67">
        <f>SUBTOTAL(109,TalentBook[NA 4*])</f>
        <v>0</v>
      </c>
      <c r="AB92" s="67">
        <f>SUBTOTAL(109,TalentBook[NA 3*])</f>
        <v>0</v>
      </c>
      <c r="AC92" s="67">
        <f>SUBTOTAL(109,TalentBook[NA 2*])</f>
        <v>0</v>
      </c>
      <c r="AD92" s="67">
        <f>SUBTOTAL(109,TalentBook[Skill 4*])</f>
        <v>1034</v>
      </c>
      <c r="AE92" s="67">
        <f>SUBTOTAL(109,TalentBook[Skill 3*])</f>
        <v>801</v>
      </c>
      <c r="AF92" s="67">
        <f>SUBTOTAL(109,TalentBook[Skill 2*])</f>
        <v>102</v>
      </c>
      <c r="AG92" s="67">
        <f>SUBTOTAL(109,TalentBook[Burst 4*])</f>
        <v>1044</v>
      </c>
      <c r="AH92" s="67">
        <f>SUBTOTAL(109,TalentBook[Burst 3*])</f>
        <v>1044</v>
      </c>
      <c r="AI92" s="68">
        <f>SUBTOTAL(109,TalentBook[Burst 2*])</f>
        <v>1044</v>
      </c>
      <c r="AK92" s="109" t="s">
        <v>758</v>
      </c>
      <c r="AL92" s="68">
        <f>SUBTOTAL(109,WeeklyBoss[Need to Farm])</f>
        <v>376</v>
      </c>
      <c r="AM92" s="80"/>
      <c r="AN92" s="80"/>
      <c r="AO92" s="66">
        <f>SUBTOTAL(109,WeeklyBoss[Burst])</f>
        <v>189</v>
      </c>
      <c r="AQ92" s="109" t="s">
        <v>758</v>
      </c>
      <c r="AR92" s="68">
        <f>SUBTOTAL(109,LocalSpecialties3[Need to Farm])</f>
        <v>4913</v>
      </c>
      <c r="AT92" s="109" t="s">
        <v>758</v>
      </c>
      <c r="AU92" s="80">
        <f>SUBTOTAL(109,Gemstone[Gemstone])</f>
        <v>204</v>
      </c>
      <c r="AV92" s="80">
        <f>SUBTOTAL(109,Gemstone[Chunk])</f>
        <v>264</v>
      </c>
      <c r="AW92" s="80">
        <f>SUBTOTAL(109,Gemstone[Fragment])</f>
        <v>204</v>
      </c>
      <c r="AX92" s="66">
        <f>SUBTOTAL(109,Gemstone[Silver])</f>
        <v>1</v>
      </c>
      <c r="AZ92" s="65" t="s">
        <v>758</v>
      </c>
      <c r="BA92" s="65">
        <f>SUBTOTAL(109,MonsterMaterials[3* (Asc)])</f>
        <v>1176</v>
      </c>
      <c r="BB92" s="80">
        <f>SUBTOTAL(109,MonsterMaterials[2* (Asc)])</f>
        <v>780</v>
      </c>
      <c r="BC92" s="66">
        <f>SUBTOTAL(109,MonsterMaterials[1* (Asc)])</f>
        <v>333</v>
      </c>
      <c r="BD92" s="88">
        <f>SUBTOTAL(109,MonsterMaterials[3* (Tal)])</f>
        <v>1784</v>
      </c>
      <c r="BE92" s="67">
        <f>SUBTOTAL(109,MonsterMaterials[2* (Tal)])</f>
        <v>1698</v>
      </c>
      <c r="BF92" s="68">
        <f>SUBTOTAL(109,MonsterMaterials[1* (Tal)])</f>
        <v>420</v>
      </c>
      <c r="BG92" s="88">
        <f>SUBTOTAL(109,MonsterMaterials[3*1])</f>
        <v>0</v>
      </c>
      <c r="BH92" s="67">
        <f>SUBTOTAL(109,MonsterMaterials[2*1])</f>
        <v>0</v>
      </c>
      <c r="BI92" s="67">
        <f>SUBTOTAL(109,MonsterMaterials[1*1])</f>
        <v>0</v>
      </c>
      <c r="BJ92" s="67">
        <f>SUBTOTAL(109,MonsterMaterials[3*2])</f>
        <v>887</v>
      </c>
      <c r="BK92" s="67">
        <f>SUBTOTAL(109,MonsterMaterials[2*2])</f>
        <v>836</v>
      </c>
      <c r="BL92" s="67">
        <f>SUBTOTAL(109,MonsterMaterials[1*2])</f>
        <v>204</v>
      </c>
      <c r="BM92" s="67">
        <f>SUBTOTAL(109,MonsterMaterials[3*3])</f>
        <v>897</v>
      </c>
      <c r="BN92" s="67">
        <f>SUBTOTAL(109,MonsterMaterials[2*3])</f>
        <v>862</v>
      </c>
      <c r="BO92" s="68">
        <f>SUBTOTAL(109,MonsterMaterials[1*3])</f>
        <v>216</v>
      </c>
      <c r="BP92" s="86">
        <f>SUBTOTAL(109,MonsterMaterials[3* Mats])</f>
        <v>2960</v>
      </c>
      <c r="BQ92" s="86">
        <f>SUBTOTAL(109,MonsterMaterials[2* Mats])</f>
        <v>2478</v>
      </c>
      <c r="BR92" s="87">
        <f>SUBTOTAL(109,MonsterMaterials[1* Mats])</f>
        <v>753</v>
      </c>
      <c r="BT92" s="106">
        <f>SUBTOTAL(109,Table40[Ascension
Cost])</f>
        <v>38255415</v>
      </c>
      <c r="BU92" s="104">
        <f>SUBTOTAL(109,Table40[Talent Cost
(NA)])</f>
        <v>0</v>
      </c>
      <c r="BV92" s="104">
        <f>SUBTOTAL(109,Table40[Talent Cost
(Skill)])</f>
        <v>43590000</v>
      </c>
      <c r="BW92" s="104">
        <f>SUBTOTAL(109,Table40[Talent Cost
(Burst)])</f>
        <v>44140000</v>
      </c>
      <c r="BX92" s="105">
        <f>SUBTOTAL(109,Table40[Total
Cost])</f>
        <v>125985415</v>
      </c>
    </row>
    <row r="93" spans="1:76" x14ac:dyDescent="0.25">
      <c r="A93" s="29"/>
      <c r="B93" s="29"/>
      <c r="C93" s="29"/>
      <c r="BT93" s="36"/>
      <c r="BU93" s="36"/>
      <c r="BV93" s="36"/>
      <c r="BW93" s="36"/>
      <c r="BX93" s="36"/>
    </row>
    <row r="94" spans="1:76" x14ac:dyDescent="0.25">
      <c r="A94" s="29"/>
      <c r="B94" s="29"/>
      <c r="C94" s="29"/>
    </row>
    <row r="95" spans="1:76" x14ac:dyDescent="0.25">
      <c r="A95" s="29"/>
      <c r="B95" s="29"/>
      <c r="C95" s="29"/>
    </row>
    <row r="96" spans="1:76" x14ac:dyDescent="0.25">
      <c r="A96" s="29"/>
      <c r="B96" s="29"/>
      <c r="C96" s="29"/>
    </row>
    <row r="97" spans="1:3" x14ac:dyDescent="0.25">
      <c r="A97" s="29"/>
      <c r="B97" s="29"/>
      <c r="C97" s="29"/>
    </row>
    <row r="98" spans="1:3" x14ac:dyDescent="0.25">
      <c r="A98" s="29"/>
      <c r="B98" s="29"/>
      <c r="C98" s="29"/>
    </row>
    <row r="99" spans="1:3" x14ac:dyDescent="0.25">
      <c r="A99" s="29"/>
      <c r="B99" s="29"/>
      <c r="C99" s="29"/>
    </row>
    <row r="100" spans="1:3" x14ac:dyDescent="0.25">
      <c r="A100" s="29"/>
      <c r="B100" s="29"/>
      <c r="C100" s="29"/>
    </row>
    <row r="101" spans="1:3" x14ac:dyDescent="0.25">
      <c r="A101" s="29"/>
      <c r="B101" s="29"/>
      <c r="C101" s="29"/>
    </row>
    <row r="102" spans="1:3" x14ac:dyDescent="0.25">
      <c r="A102" s="29"/>
      <c r="B102" s="29"/>
      <c r="C102" s="29"/>
    </row>
    <row r="103" spans="1:3" x14ac:dyDescent="0.25">
      <c r="A103" s="29"/>
      <c r="B103" s="29"/>
      <c r="C103" s="29"/>
    </row>
    <row r="104" spans="1:3" x14ac:dyDescent="0.25">
      <c r="A104" s="29"/>
      <c r="B104" s="29"/>
      <c r="C104" s="29"/>
    </row>
    <row r="105" spans="1:3" x14ac:dyDescent="0.25">
      <c r="A105" s="29"/>
      <c r="B105" s="29"/>
      <c r="C105" s="29"/>
    </row>
    <row r="106" spans="1:3" x14ac:dyDescent="0.25">
      <c r="A106" s="29"/>
      <c r="B106" s="29"/>
      <c r="C106" s="29"/>
    </row>
    <row r="107" spans="1:3" x14ac:dyDescent="0.25">
      <c r="A107" s="29"/>
      <c r="B107" s="29"/>
      <c r="C107" s="29"/>
    </row>
    <row r="108" spans="1:3" x14ac:dyDescent="0.25">
      <c r="A108" s="29"/>
      <c r="B108" s="29"/>
      <c r="C108" s="29"/>
    </row>
    <row r="109" spans="1:3" x14ac:dyDescent="0.25">
      <c r="A109" s="29"/>
      <c r="B109" s="29"/>
      <c r="C109" s="29"/>
    </row>
    <row r="110" spans="1:3" x14ac:dyDescent="0.25">
      <c r="A110" s="29"/>
      <c r="B110" s="29"/>
      <c r="C110" s="29"/>
    </row>
    <row r="111" spans="1:3" x14ac:dyDescent="0.25">
      <c r="A111" s="29"/>
      <c r="B111" s="29"/>
      <c r="C111" s="29"/>
    </row>
    <row r="112" spans="1:3" x14ac:dyDescent="0.25">
      <c r="A112" s="29"/>
      <c r="B112" s="29"/>
      <c r="C112" s="29"/>
    </row>
    <row r="113" spans="1:3" x14ac:dyDescent="0.25">
      <c r="A113" s="29"/>
      <c r="B113" s="29"/>
      <c r="C113" s="29"/>
    </row>
  </sheetData>
  <sheetProtection sort="0" autoFilter="0"/>
  <protectedRanges>
    <protectedRange sqref="M3:P91" name="Level and Talent"/>
    <protectedRange sqref="H3:L91 S3:S91 V3:V91 Q3:Q91 AJ3:AJ91 AP3:AP91 AS3:AS91 AY3:AY91 BS3:BS91" name="Level and Talent_2"/>
  </protectedRanges>
  <mergeCells count="14">
    <mergeCell ref="BT1:BV1"/>
    <mergeCell ref="BP1:BR1"/>
    <mergeCell ref="AT1:AX1"/>
    <mergeCell ref="BG1:BO1"/>
    <mergeCell ref="AZ1:BF1"/>
    <mergeCell ref="AQ1:AR1"/>
    <mergeCell ref="A1:G1"/>
    <mergeCell ref="AK1:AL1"/>
    <mergeCell ref="AM1:AO1"/>
    <mergeCell ref="H1:K1"/>
    <mergeCell ref="M1:P1"/>
    <mergeCell ref="T1:U1"/>
    <mergeCell ref="W1:Z1"/>
    <mergeCell ref="AA1:AI1"/>
  </mergeCells>
  <conditionalFormatting sqref="T137:U1048576">
    <cfRule type="colorScale" priority="5">
      <colorScale>
        <cfvo type="min"/>
        <cfvo type="max"/>
        <color rgb="FF63BE7B"/>
        <color rgb="FFFCFCFF"/>
      </colorScale>
    </cfRule>
  </conditionalFormatting>
  <conditionalFormatting sqref="T3:T91">
    <cfRule type="colorScale" priority="3">
      <colorScale>
        <cfvo type="min"/>
        <cfvo type="max"/>
        <color rgb="FF63BE7B"/>
        <color rgb="FFFCFCFF"/>
      </colorScale>
    </cfRule>
  </conditionalFormatting>
  <dataValidations count="3">
    <dataValidation type="custom" allowBlank="1" showInputMessage="1" showErrorMessage="1" errorTitle="Enter Valid &quot;Target Level&quot;" error="Target level cannot be less than Current Level" sqref="M3:M91" xr:uid="{A7EFBAA7-1E17-4AA2-9E7C-4000FB15DFD0}">
      <formula1>M3&gt;=H3</formula1>
    </dataValidation>
    <dataValidation type="whole" allowBlank="1" showInputMessage="1" showErrorMessage="1" errorTitle="Numeric Values Only!" error="Please put numeric values from 0 to 10!" sqref="N3:P91 I3:K91" xr:uid="{D85C7A73-7046-47AB-A07C-1C8986397BA6}">
      <formula1>0</formula1>
      <formula2>10</formula2>
    </dataValidation>
    <dataValidation type="whole" allowBlank="1" showInputMessage="1" showErrorMessage="1" errorTitle="Numeric Values Only!" error="Please put numeric values from 0 to 90." sqref="H3:H91" xr:uid="{8C3D750C-46E3-4B51-8E31-FAD512864674}">
      <formula1>0</formula1>
      <formula2>90</formula2>
    </dataValidation>
  </dataValidations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61221-EEEE-4308-995F-040E07A72874}">
  <sheetPr codeName="Sheet3">
    <tabColor rgb="FFFFC000"/>
  </sheetPr>
  <dimension ref="A1:G50"/>
  <sheetViews>
    <sheetView zoomScaleNormal="100" workbookViewId="0">
      <selection activeCell="K16" sqref="K16"/>
    </sheetView>
    <sheetView workbookViewId="1">
      <selection sqref="A1:G1"/>
    </sheetView>
  </sheetViews>
  <sheetFormatPr defaultRowHeight="15" x14ac:dyDescent="0.25"/>
  <cols>
    <col min="1" max="1" width="9.5703125" style="2" customWidth="1"/>
    <col min="2" max="2" width="8.42578125" style="2" customWidth="1"/>
    <col min="3" max="3" width="28.5703125" style="2" hidden="1" customWidth="1"/>
    <col min="4" max="4" width="12.42578125" style="2" bestFit="1" customWidth="1"/>
    <col min="5" max="5" width="15.42578125" style="2" customWidth="1"/>
    <col min="6" max="6" width="16" style="2" customWidth="1"/>
    <col min="7" max="7" width="17.42578125" style="2" customWidth="1"/>
    <col min="8" max="16384" width="9.140625" style="2"/>
  </cols>
  <sheetData>
    <row r="1" spans="1:7" ht="34.5" thickBot="1" x14ac:dyDescent="0.3">
      <c r="A1" s="231" t="s">
        <v>4</v>
      </c>
      <c r="B1" s="229"/>
      <c r="C1" s="229"/>
      <c r="D1" s="229"/>
      <c r="E1" s="229"/>
      <c r="F1" s="229"/>
      <c r="G1" s="230"/>
    </row>
    <row r="2" spans="1:7" ht="30.75" thickBot="1" x14ac:dyDescent="0.3">
      <c r="A2" s="233" t="s">
        <v>704</v>
      </c>
      <c r="B2" s="234" t="s">
        <v>83</v>
      </c>
      <c r="C2" s="234" t="s">
        <v>24</v>
      </c>
      <c r="D2" s="234" t="s">
        <v>759</v>
      </c>
      <c r="E2" s="234" t="s">
        <v>760</v>
      </c>
      <c r="F2" s="234" t="s">
        <v>761</v>
      </c>
      <c r="G2" s="235" t="s">
        <v>762</v>
      </c>
    </row>
    <row r="3" spans="1:7" ht="30" customHeight="1" x14ac:dyDescent="0.25">
      <c r="A3" s="161">
        <f>SUBTOTAL(3,$C$3:World_Boss[[#This Row],[Name]])</f>
        <v>1</v>
      </c>
      <c r="B3" s="214" t="e" vm="132">
        <f>IFERROR(INDEX(WorldBossImg[Icon], MATCH(World_Boss[[#This Row],[Name]], WorldBossImg[Name], 0)), "")</f>
        <v>#VALUE!</v>
      </c>
      <c r="C3" s="214" t="s">
        <v>88</v>
      </c>
      <c r="D3" s="223">
        <v>1</v>
      </c>
      <c r="E3" s="170">
        <f>SUMIF(WorldBoss[Material],World_Boss[[#This Row],[Boss Name]],WorldBoss[Need to Farm])</f>
        <v>46</v>
      </c>
      <c r="F3" s="171">
        <f>IFERROR(INDEX(WorldBossInv[Quantity], MATCH(World_Boss[[#This Row],[Boss Name]], WorldBossInv[Icon], 0)), "")</f>
        <v>0</v>
      </c>
      <c r="G3" s="236">
        <f t="shared" ref="G3:G33" si="0">E3-F3</f>
        <v>46</v>
      </c>
    </row>
    <row r="4" spans="1:7" ht="30" customHeight="1" x14ac:dyDescent="0.25">
      <c r="A4" s="161">
        <f>SUBTOTAL(3,$C$3:World_Boss[[#This Row],[Name]])</f>
        <v>2</v>
      </c>
      <c r="B4" s="214" t="e" vm="165">
        <f>IFERROR(INDEX(WorldBossImg[Icon], MATCH(World_Boss[[#This Row],[Name]], WorldBossImg[Name], 0)), "")</f>
        <v>#VALUE!</v>
      </c>
      <c r="C4" s="214" t="s">
        <v>102</v>
      </c>
      <c r="D4" s="223">
        <v>1</v>
      </c>
      <c r="E4" s="161">
        <f>SUMIF(WorldBoss[Material],World_Boss[[#This Row],[Boss Name]],WorldBoss[Need to Farm])</f>
        <v>202</v>
      </c>
      <c r="F4" s="214">
        <f>IFERROR(INDEX(WorldBossInv[Quantity], MATCH(World_Boss[[#This Row],[Boss Name]], WorldBossInv[Icon], 0)), "")</f>
        <v>0</v>
      </c>
      <c r="G4" s="162">
        <f t="shared" si="0"/>
        <v>202</v>
      </c>
    </row>
    <row r="5" spans="1:7" ht="30" customHeight="1" x14ac:dyDescent="0.25">
      <c r="A5" s="161">
        <f>SUBTOTAL(3,$C$3:World_Boss[[#This Row],[Name]])</f>
        <v>3</v>
      </c>
      <c r="B5" s="214" t="e" vm="209">
        <f>IFERROR(INDEX(WorldBossImg[Icon], MATCH(World_Boss[[#This Row],[Name]], WorldBossImg[Name], 0)), "")</f>
        <v>#VALUE!</v>
      </c>
      <c r="C5" s="214" t="s">
        <v>116</v>
      </c>
      <c r="D5" s="223">
        <v>1</v>
      </c>
      <c r="E5" s="161">
        <f>SUMIF(WorldBoss[Material],World_Boss[[#This Row],[Boss Name]],WorldBoss[Need to Farm])</f>
        <v>124</v>
      </c>
      <c r="F5" s="214">
        <f>IFERROR(INDEX(WorldBossInv[Quantity], MATCH(World_Boss[[#This Row],[Boss Name]], WorldBossInv[Icon], 0)), "")</f>
        <v>0</v>
      </c>
      <c r="G5" s="162">
        <f t="shared" si="0"/>
        <v>124</v>
      </c>
    </row>
    <row r="6" spans="1:7" ht="30" customHeight="1" x14ac:dyDescent="0.25">
      <c r="A6" s="161">
        <f>SUBTOTAL(3,$C$3:World_Boss[[#This Row],[Name]])</f>
        <v>4</v>
      </c>
      <c r="B6" s="214" t="e" vm="7">
        <f>IFERROR(INDEX(WorldBossImg[Icon], MATCH(World_Boss[[#This Row],[Name]], WorldBossImg[Name], 0)), "")</f>
        <v>#VALUE!</v>
      </c>
      <c r="C6" s="214" t="s">
        <v>130</v>
      </c>
      <c r="D6" s="223">
        <v>1</v>
      </c>
      <c r="E6" s="161">
        <f>SUMIF(WorldBoss[Material],World_Boss[[#This Row],[Boss Name]],WorldBoss[Need to Farm])</f>
        <v>0</v>
      </c>
      <c r="F6" s="214">
        <f>IFERROR(INDEX(WorldBossInv[Quantity], MATCH(World_Boss[[#This Row],[Boss Name]], WorldBossInv[Icon], 0)), "")</f>
        <v>0</v>
      </c>
      <c r="G6" s="162">
        <f t="shared" si="0"/>
        <v>0</v>
      </c>
    </row>
    <row r="7" spans="1:7" ht="30" customHeight="1" x14ac:dyDescent="0.25">
      <c r="A7" s="161">
        <f>SUBTOTAL(3,$C$3:World_Boss[[#This Row],[Name]])</f>
        <v>5</v>
      </c>
      <c r="B7" s="214" t="e" vm="348">
        <f>IFERROR(INDEX(WorldBossImg[Icon], MATCH(World_Boss[[#This Row],[Name]], WorldBossImg[Name], 0)), "")</f>
        <v>#VALUE!</v>
      </c>
      <c r="C7" s="214" t="s">
        <v>145</v>
      </c>
      <c r="D7" s="223">
        <v>1</v>
      </c>
      <c r="E7" s="161">
        <f>SUMIF(WorldBoss[Material],World_Boss[[#This Row],[Boss Name]],WorldBoss[Need to Farm])</f>
        <v>0</v>
      </c>
      <c r="F7" s="214">
        <f>IFERROR(INDEX(WorldBossInv[Quantity], MATCH(World_Boss[[#This Row],[Boss Name]], WorldBossInv[Icon], 0)), "")</f>
        <v>0</v>
      </c>
      <c r="G7" s="162">
        <f t="shared" si="0"/>
        <v>0</v>
      </c>
    </row>
    <row r="8" spans="1:7" ht="30" customHeight="1" x14ac:dyDescent="0.25">
      <c r="A8" s="161">
        <f>SUBTOTAL(3,$C$3:World_Boss[[#This Row],[Name]])</f>
        <v>6</v>
      </c>
      <c r="B8" s="214" t="e" vm="51">
        <f>IFERROR(INDEX(WorldBossImg[Icon], MATCH(World_Boss[[#This Row],[Name]], WorldBossImg[Name], 0)), "")</f>
        <v>#VALUE!</v>
      </c>
      <c r="C8" s="214" t="s">
        <v>157</v>
      </c>
      <c r="D8" s="223">
        <v>1</v>
      </c>
      <c r="E8" s="161">
        <f>SUMIF(WorldBoss[Material],World_Boss[[#This Row],[Boss Name]],WorldBoss[Need to Farm])</f>
        <v>132</v>
      </c>
      <c r="F8" s="214">
        <f>IFERROR(INDEX(WorldBossInv[Quantity], MATCH(World_Boss[[#This Row],[Boss Name]], WorldBossInv[Icon], 0)), "")</f>
        <v>0</v>
      </c>
      <c r="G8" s="162">
        <f t="shared" si="0"/>
        <v>132</v>
      </c>
    </row>
    <row r="9" spans="1:7" ht="30" customHeight="1" x14ac:dyDescent="0.25">
      <c r="A9" s="161">
        <f>SUBTOTAL(3,$C$3:World_Boss[[#This Row],[Name]])</f>
        <v>7</v>
      </c>
      <c r="B9" s="214" t="e" vm="601">
        <f>IFERROR(INDEX(WorldBossImg[Icon], MATCH(World_Boss[[#This Row],[Name]], WorldBossImg[Name], 0)), "")</f>
        <v>#VALUE!</v>
      </c>
      <c r="C9" s="214" t="s">
        <v>169</v>
      </c>
      <c r="D9" s="223">
        <v>1.3</v>
      </c>
      <c r="E9" s="161">
        <f>SUMIF(WorldBoss[Material],World_Boss[[#This Row],[Boss Name]],WorldBoss[Need to Farm])</f>
        <v>20</v>
      </c>
      <c r="F9" s="214">
        <f>IFERROR(INDEX(WorldBossInv[Quantity], MATCH(World_Boss[[#This Row],[Boss Name]], WorldBossInv[Icon], 0)), "")</f>
        <v>0</v>
      </c>
      <c r="G9" s="162">
        <f t="shared" si="0"/>
        <v>20</v>
      </c>
    </row>
    <row r="10" spans="1:7" ht="30" customHeight="1" x14ac:dyDescent="0.25">
      <c r="A10" s="161">
        <f>SUBTOTAL(3,$C$3:World_Boss[[#This Row],[Name]])</f>
        <v>8</v>
      </c>
      <c r="B10" s="214" t="e" vm="360">
        <f>IFERROR(INDEX(WorldBossImg[Icon], MATCH(World_Boss[[#This Row],[Name]], WorldBossImg[Name], 0)), "")</f>
        <v>#VALUE!</v>
      </c>
      <c r="C10" s="214" t="s">
        <v>183</v>
      </c>
      <c r="D10" s="223">
        <v>1.5</v>
      </c>
      <c r="E10" s="161">
        <f>SUMIF(WorldBoss[Material],World_Boss[[#This Row],[Boss Name]],WorldBoss[Need to Farm])</f>
        <v>46</v>
      </c>
      <c r="F10" s="214">
        <f>IFERROR(INDEX(WorldBossInv[Quantity], MATCH(World_Boss[[#This Row],[Boss Name]], WorldBossInv[Icon], 0)), "")</f>
        <v>0</v>
      </c>
      <c r="G10" s="162">
        <f t="shared" si="0"/>
        <v>46</v>
      </c>
    </row>
    <row r="11" spans="1:7" ht="30" customHeight="1" x14ac:dyDescent="0.25">
      <c r="A11" s="161">
        <f>SUBTOTAL(3,$C$3:World_Boss[[#This Row],[Name]])</f>
        <v>9</v>
      </c>
      <c r="B11" s="214" t="e" vm="149">
        <f>IFERROR(INDEX(WorldBossImg[Icon], MATCH(World_Boss[[#This Row],[Name]], WorldBossImg[Name], 0)), "")</f>
        <v>#VALUE!</v>
      </c>
      <c r="C11" s="214" t="s">
        <v>193</v>
      </c>
      <c r="D11" s="223">
        <v>1.6</v>
      </c>
      <c r="E11" s="161">
        <f>SUMIF(WorldBoss[Material],World_Boss[[#This Row],[Boss Name]],WorldBoss[Need to Farm])</f>
        <v>46</v>
      </c>
      <c r="F11" s="214">
        <f>IFERROR(INDEX(WorldBossInv[Quantity], MATCH(World_Boss[[#This Row],[Boss Name]], WorldBossInv[Icon], 0)), "")</f>
        <v>0</v>
      </c>
      <c r="G11" s="162">
        <f t="shared" si="0"/>
        <v>46</v>
      </c>
    </row>
    <row r="12" spans="1:7" ht="30" customHeight="1" x14ac:dyDescent="0.25">
      <c r="A12" s="161">
        <f>SUBTOTAL(3,$C$3:World_Boss[[#This Row],[Name]])</f>
        <v>10</v>
      </c>
      <c r="B12" s="214" t="e" vm="180">
        <f>IFERROR(INDEX(WorldBossImg[Icon], MATCH(World_Boss[[#This Row],[Name]], WorldBossImg[Name], 0)), "")</f>
        <v>#VALUE!</v>
      </c>
      <c r="C12" s="214" t="s">
        <v>202</v>
      </c>
      <c r="D12" s="223">
        <v>2</v>
      </c>
      <c r="E12" s="161">
        <f>SUMIF(WorldBoss[Material],World_Boss[[#This Row],[Boss Name]],WorldBoss[Need to Farm])</f>
        <v>46</v>
      </c>
      <c r="F12" s="214">
        <f>IFERROR(INDEX(WorldBossInv[Quantity], MATCH(World_Boss[[#This Row],[Boss Name]], WorldBossInv[Icon], 0)), "")</f>
        <v>0</v>
      </c>
      <c r="G12" s="162">
        <f t="shared" si="0"/>
        <v>46</v>
      </c>
    </row>
    <row r="13" spans="1:7" ht="30" customHeight="1" x14ac:dyDescent="0.25">
      <c r="A13" s="161">
        <f>SUBTOTAL(3,$C$3:World_Boss[[#This Row],[Name]])</f>
        <v>11</v>
      </c>
      <c r="B13" s="214" t="e" vm="480">
        <f>IFERROR(INDEX(WorldBossImg[Icon], MATCH(World_Boss[[#This Row],[Name]], WorldBossImg[Name], 0)), "")</f>
        <v>#VALUE!</v>
      </c>
      <c r="C13" s="214" t="s">
        <v>214</v>
      </c>
      <c r="D13" s="223">
        <v>2</v>
      </c>
      <c r="E13" s="161">
        <f>SUMIF(WorldBoss[Material],World_Boss[[#This Row],[Boss Name]],WorldBoss[Need to Farm])</f>
        <v>46</v>
      </c>
      <c r="F13" s="214">
        <f>IFERROR(INDEX(WorldBossInv[Quantity], MATCH(World_Boss[[#This Row],[Boss Name]], WorldBossInv[Icon], 0)), "")</f>
        <v>0</v>
      </c>
      <c r="G13" s="162">
        <f t="shared" si="0"/>
        <v>46</v>
      </c>
    </row>
    <row r="14" spans="1:7" ht="30" customHeight="1" x14ac:dyDescent="0.25">
      <c r="A14" s="161">
        <f>SUBTOTAL(3,$C$3:World_Boss[[#This Row],[Name]])</f>
        <v>12</v>
      </c>
      <c r="B14" s="214" t="e" vm="196">
        <f>IFERROR(INDEX(WorldBossImg[Icon], MATCH(World_Boss[[#This Row],[Name]], WorldBossImg[Name], 0)), "")</f>
        <v>#VALUE!</v>
      </c>
      <c r="C14" s="214" t="s">
        <v>224</v>
      </c>
      <c r="D14" s="223">
        <v>2.1</v>
      </c>
      <c r="E14" s="161">
        <f>SUMIF(WorldBoss[Material],World_Boss[[#This Row],[Boss Name]],WorldBoss[Need to Farm])</f>
        <v>0</v>
      </c>
      <c r="F14" s="214">
        <f>IFERROR(INDEX(WorldBossInv[Quantity], MATCH(World_Boss[[#This Row],[Boss Name]], WorldBossInv[Icon], 0)), "")</f>
        <v>0</v>
      </c>
      <c r="G14" s="162">
        <f t="shared" si="0"/>
        <v>0</v>
      </c>
    </row>
    <row r="15" spans="1:7" ht="30" customHeight="1" x14ac:dyDescent="0.25">
      <c r="A15" s="161">
        <f>SUBTOTAL(3,$C$3:World_Boss[[#This Row],[Name]])</f>
        <v>13</v>
      </c>
      <c r="B15" s="214" t="e" vm="431">
        <f>IFERROR(INDEX(WorldBossImg[Icon], MATCH(World_Boss[[#This Row],[Name]], WorldBossImg[Name], 0)), "")</f>
        <v>#VALUE!</v>
      </c>
      <c r="C15" s="214" t="s">
        <v>234</v>
      </c>
      <c r="D15" s="223">
        <v>2.1</v>
      </c>
      <c r="E15" s="161">
        <f>SUMIF(WorldBoss[Material],World_Boss[[#This Row],[Boss Name]],WorldBoss[Need to Farm])</f>
        <v>46</v>
      </c>
      <c r="F15" s="214">
        <f>IFERROR(INDEX(WorldBossInv[Quantity], MATCH(World_Boss[[#This Row],[Boss Name]], WorldBossInv[Icon], 0)), "")</f>
        <v>0</v>
      </c>
      <c r="G15" s="162">
        <f t="shared" si="0"/>
        <v>46</v>
      </c>
    </row>
    <row r="16" spans="1:7" ht="30" customHeight="1" x14ac:dyDescent="0.25">
      <c r="A16" s="161">
        <f>SUBTOTAL(3,$C$3:World_Boss[[#This Row],[Name]])</f>
        <v>14</v>
      </c>
      <c r="B16" s="214" t="e" vm="488">
        <f>IFERROR(INDEX(WorldBossImg[Icon], MATCH(World_Boss[[#This Row],[Name]], WorldBossImg[Name], 0)), "")</f>
        <v>#VALUE!</v>
      </c>
      <c r="C16" s="214" t="s">
        <v>245</v>
      </c>
      <c r="D16" s="223">
        <v>2.2999999999999998</v>
      </c>
      <c r="E16" s="161">
        <f>SUMIF(WorldBoss[Material],World_Boss[[#This Row],[Boss Name]],WorldBoss[Need to Farm])</f>
        <v>46</v>
      </c>
      <c r="F16" s="214">
        <f>IFERROR(INDEX(WorldBossInv[Quantity], MATCH(World_Boss[[#This Row],[Boss Name]], WorldBossInv[Icon], 0)), "")</f>
        <v>0</v>
      </c>
      <c r="G16" s="162">
        <f t="shared" si="0"/>
        <v>46</v>
      </c>
    </row>
    <row r="17" spans="1:7" ht="30" customHeight="1" x14ac:dyDescent="0.25">
      <c r="A17" s="161">
        <f>SUBTOTAL(3,$C$3:World_Boss[[#This Row],[Name]])</f>
        <v>15</v>
      </c>
      <c r="B17" s="214" t="e" vm="598">
        <f>IFERROR(INDEX(WorldBossImg[Icon], MATCH(World_Boss[[#This Row],[Name]], WorldBossImg[Name], 0)), "")</f>
        <v>#VALUE!</v>
      </c>
      <c r="C17" s="214" t="s">
        <v>255</v>
      </c>
      <c r="D17" s="223">
        <v>2.4</v>
      </c>
      <c r="E17" s="161">
        <f>SUMIF(WorldBoss[Material],World_Boss[[#This Row],[Boss Name]],WorldBoss[Need to Farm])</f>
        <v>0</v>
      </c>
      <c r="F17" s="214">
        <f>IFERROR(INDEX(WorldBossInv[Quantity], MATCH(World_Boss[[#This Row],[Boss Name]], WorldBossInv[Icon], 0)), "")</f>
        <v>0</v>
      </c>
      <c r="G17" s="162">
        <f t="shared" si="0"/>
        <v>0</v>
      </c>
    </row>
    <row r="18" spans="1:7" ht="30" customHeight="1" x14ac:dyDescent="0.25">
      <c r="A18" s="161">
        <f>SUBTOTAL(3,$C$3:World_Boss[[#This Row],[Name]])</f>
        <v>16</v>
      </c>
      <c r="B18" s="214" t="e" vm="238">
        <f>IFERROR(INDEX(WorldBossImg[Icon], MATCH(World_Boss[[#This Row],[Name]], WorldBossImg[Name], 0)), "")</f>
        <v>#VALUE!</v>
      </c>
      <c r="C18" s="214" t="s">
        <v>265</v>
      </c>
      <c r="D18" s="223">
        <v>2.6</v>
      </c>
      <c r="E18" s="161">
        <f>SUMIF(WorldBoss[Material],World_Boss[[#This Row],[Boss Name]],WorldBoss[Need to Farm])</f>
        <v>40</v>
      </c>
      <c r="F18" s="214">
        <f>IFERROR(INDEX(WorldBossInv[Quantity], MATCH(World_Boss[[#This Row],[Boss Name]], WorldBossInv[Icon], 0)), "")</f>
        <v>0</v>
      </c>
      <c r="G18" s="162">
        <f t="shared" si="0"/>
        <v>40</v>
      </c>
    </row>
    <row r="19" spans="1:7" ht="30" customHeight="1" x14ac:dyDescent="0.25">
      <c r="A19" s="161">
        <f>SUBTOTAL(3,$C$3:World_Boss[[#This Row],[Name]])</f>
        <v>17</v>
      </c>
      <c r="B19" s="214" t="e" vm="510">
        <f>IFERROR(INDEX(WorldBossImg[Icon], MATCH(World_Boss[[#This Row],[Name]], WorldBossImg[Name], 0)), "")</f>
        <v>#VALUE!</v>
      </c>
      <c r="C19" s="214" t="s">
        <v>277</v>
      </c>
      <c r="D19" s="223">
        <v>3</v>
      </c>
      <c r="E19" s="161">
        <f>SUMIF(WorldBoss[Material],World_Boss[[#This Row],[Boss Name]],WorldBoss[Need to Farm])</f>
        <v>40</v>
      </c>
      <c r="F19" s="214">
        <f>IFERROR(INDEX(WorldBossInv[Quantity], MATCH(World_Boss[[#This Row],[Boss Name]], WorldBossInv[Icon], 0)), "")</f>
        <v>0</v>
      </c>
      <c r="G19" s="162">
        <f t="shared" si="0"/>
        <v>40</v>
      </c>
    </row>
    <row r="20" spans="1:7" ht="30" customHeight="1" x14ac:dyDescent="0.25">
      <c r="A20" s="161">
        <f>SUBTOTAL(3,$C$3:World_Boss[[#This Row],[Name]])</f>
        <v>18</v>
      </c>
      <c r="B20" s="214" t="e" vm="383">
        <f>IFERROR(INDEX(WorldBossImg[Icon], MATCH(World_Boss[[#This Row],[Name]], WorldBossImg[Name], 0)), "")</f>
        <v>#VALUE!</v>
      </c>
      <c r="C20" s="214" t="s">
        <v>286</v>
      </c>
      <c r="D20" s="223">
        <v>3</v>
      </c>
      <c r="E20" s="161">
        <f>SUMIF(WorldBoss[Material],World_Boss[[#This Row],[Boss Name]],WorldBoss[Need to Farm])</f>
        <v>92</v>
      </c>
      <c r="F20" s="214">
        <f>IFERROR(INDEX(WorldBossInv[Quantity], MATCH(World_Boss[[#This Row],[Boss Name]], WorldBossInv[Icon], 0)), "")</f>
        <v>0</v>
      </c>
      <c r="G20" s="162">
        <f t="shared" si="0"/>
        <v>92</v>
      </c>
    </row>
    <row r="21" spans="1:7" ht="30" customHeight="1" x14ac:dyDescent="0.25">
      <c r="A21" s="161">
        <f>SUBTOTAL(3,$C$3:World_Boss[[#This Row],[Name]])</f>
        <v>19</v>
      </c>
      <c r="B21" s="214" t="e" vm="249">
        <f>IFERROR(INDEX(WorldBossImg[Icon], MATCH(World_Boss[[#This Row],[Name]], WorldBossImg[Name], 0)), "")</f>
        <v>#VALUE!</v>
      </c>
      <c r="C21" s="214" t="s">
        <v>296</v>
      </c>
      <c r="D21" s="223">
        <v>3.1</v>
      </c>
      <c r="E21" s="161">
        <f>SUMIF(WorldBoss[Material],World_Boss[[#This Row],[Boss Name]],WorldBoss[Need to Farm])</f>
        <v>0</v>
      </c>
      <c r="F21" s="214">
        <f>IFERROR(INDEX(WorldBossInv[Quantity], MATCH(World_Boss[[#This Row],[Boss Name]], WorldBossInv[Icon], 0)), "")</f>
        <v>0</v>
      </c>
      <c r="G21" s="162">
        <f t="shared" si="0"/>
        <v>0</v>
      </c>
    </row>
    <row r="22" spans="1:7" ht="30" customHeight="1" x14ac:dyDescent="0.25">
      <c r="A22" s="161">
        <f>SUBTOTAL(3,$C$3:World_Boss[[#This Row],[Name]])</f>
        <v>20</v>
      </c>
      <c r="B22" s="214" t="e" vm="402">
        <f>IFERROR(INDEX(WorldBossImg[Icon], MATCH(World_Boss[[#This Row],[Name]], WorldBossImg[Name], 0)), "")</f>
        <v>#VALUE!</v>
      </c>
      <c r="C22" s="214" t="s">
        <v>307</v>
      </c>
      <c r="D22" s="223">
        <v>3.1</v>
      </c>
      <c r="E22" s="161">
        <f>SUMIF(WorldBoss[Material],World_Boss[[#This Row],[Boss Name]],WorldBoss[Need to Farm])</f>
        <v>46</v>
      </c>
      <c r="F22" s="214">
        <f>IFERROR(INDEX(WorldBossInv[Quantity], MATCH(World_Boss[[#This Row],[Boss Name]], WorldBossInv[Icon], 0)), "")</f>
        <v>0</v>
      </c>
      <c r="G22" s="162">
        <f t="shared" si="0"/>
        <v>46</v>
      </c>
    </row>
    <row r="23" spans="1:7" ht="30" customHeight="1" x14ac:dyDescent="0.25">
      <c r="A23" s="161">
        <f>SUBTOTAL(3,$C$3:World_Boss[[#This Row],[Name]])</f>
        <v>21</v>
      </c>
      <c r="B23" s="214" t="e" vm="527">
        <f>IFERROR(INDEX(WorldBossImg[Icon], MATCH(World_Boss[[#This Row],[Name]], WorldBossImg[Name], 0)), "")</f>
        <v>#VALUE!</v>
      </c>
      <c r="C23" s="214" t="s">
        <v>317</v>
      </c>
      <c r="D23" s="223">
        <v>3.2</v>
      </c>
      <c r="E23" s="161">
        <f>SUMIF(WorldBoss[Material],World_Boss[[#This Row],[Boss Name]],WorldBoss[Need to Farm])</f>
        <v>92</v>
      </c>
      <c r="F23" s="214">
        <f>IFERROR(INDEX(WorldBossInv[Quantity], MATCH(World_Boss[[#This Row],[Boss Name]], WorldBossInv[Icon], 0)), "")</f>
        <v>0</v>
      </c>
      <c r="G23" s="162">
        <f t="shared" si="0"/>
        <v>92</v>
      </c>
    </row>
    <row r="24" spans="1:7" ht="30" customHeight="1" x14ac:dyDescent="0.25">
      <c r="A24" s="161">
        <f>SUBTOTAL(3,$C$3:World_Boss[[#This Row],[Name]])</f>
        <v>22</v>
      </c>
      <c r="B24" s="214" t="e" vm="29">
        <f>IFERROR(INDEX(WorldBossImg[Icon], MATCH(World_Boss[[#This Row],[Name]], WorldBossImg[Name], 0)), "")</f>
        <v>#VALUE!</v>
      </c>
      <c r="C24" s="214" t="s">
        <v>326</v>
      </c>
      <c r="D24" s="223">
        <v>3.4</v>
      </c>
      <c r="E24" s="161">
        <f>SUMIF(WorldBoss[Material],World_Boss[[#This Row],[Boss Name]],WorldBoss[Need to Farm])</f>
        <v>86</v>
      </c>
      <c r="F24" s="214">
        <f>IFERROR(INDEX(WorldBossInv[Quantity], MATCH(World_Boss[[#This Row],[Boss Name]], WorldBossInv[Icon], 0)), "")</f>
        <v>0</v>
      </c>
      <c r="G24" s="162">
        <f t="shared" si="0"/>
        <v>86</v>
      </c>
    </row>
    <row r="25" spans="1:7" ht="30" customHeight="1" x14ac:dyDescent="0.25">
      <c r="A25" s="161">
        <f>SUBTOTAL(3,$C$3:World_Boss[[#This Row],[Name]])</f>
        <v>23</v>
      </c>
      <c r="B25" s="214" t="e" vm="224">
        <f>IFERROR(INDEX(WorldBossImg[Icon], MATCH(World_Boss[[#This Row],[Name]], WorldBossImg[Name], 0)), "")</f>
        <v>#VALUE!</v>
      </c>
      <c r="C25" s="214" t="s">
        <v>338</v>
      </c>
      <c r="D25" s="223">
        <v>3.6</v>
      </c>
      <c r="E25" s="161">
        <f>SUMIF(WorldBoss[Material],World_Boss[[#This Row],[Boss Name]],WorldBoss[Need to Farm])</f>
        <v>46</v>
      </c>
      <c r="F25" s="214">
        <f>IFERROR(INDEX(WorldBossInv[Quantity], MATCH(World_Boss[[#This Row],[Boss Name]], WorldBossInv[Icon], 0)), "")</f>
        <v>0</v>
      </c>
      <c r="G25" s="162">
        <f t="shared" si="0"/>
        <v>46</v>
      </c>
    </row>
    <row r="26" spans="1:7" ht="30" customHeight="1" x14ac:dyDescent="0.25">
      <c r="A26" s="161">
        <f>SUBTOTAL(3,$C$3:World_Boss[[#This Row],[Name]])</f>
        <v>24</v>
      </c>
      <c r="B26" s="214" t="e" vm="72">
        <f>IFERROR(INDEX(WorldBossImg[Icon], MATCH(World_Boss[[#This Row],[Name]], WorldBossImg[Name], 0)), "")</f>
        <v>#VALUE!</v>
      </c>
      <c r="C26" s="214" t="s">
        <v>348</v>
      </c>
      <c r="D26" s="223">
        <v>4</v>
      </c>
      <c r="E26" s="161">
        <f>SUMIF(WorldBoss[Material],World_Boss[[#This Row],[Boss Name]],WorldBoss[Need to Farm])</f>
        <v>46</v>
      </c>
      <c r="F26" s="214">
        <f>IFERROR(INDEX(WorldBossInv[Quantity], MATCH(World_Boss[[#This Row],[Boss Name]], WorldBossInv[Icon], 0)), "")</f>
        <v>0</v>
      </c>
      <c r="G26" s="162">
        <f t="shared" si="0"/>
        <v>46</v>
      </c>
    </row>
    <row r="27" spans="1:7" ht="30" customHeight="1" x14ac:dyDescent="0.25">
      <c r="A27" s="161">
        <f>SUBTOTAL(3,$C$3:World_Boss[[#This Row],[Name]])</f>
        <v>25</v>
      </c>
      <c r="B27" s="214" t="e" vm="518">
        <f>IFERROR(INDEX(WorldBossImg[Icon], MATCH(World_Boss[[#This Row],[Name]], WorldBossImg[Name], 0)), "")</f>
        <v>#VALUE!</v>
      </c>
      <c r="C27" s="214" t="s">
        <v>358</v>
      </c>
      <c r="D27" s="223">
        <v>4</v>
      </c>
      <c r="E27" s="161">
        <f>SUMIF(WorldBoss[Material],World_Boss[[#This Row],[Boss Name]],WorldBoss[Need to Farm])</f>
        <v>46</v>
      </c>
      <c r="F27" s="214">
        <f>IFERROR(INDEX(WorldBossInv[Quantity], MATCH(World_Boss[[#This Row],[Boss Name]], WorldBossInv[Icon], 0)), "")</f>
        <v>0</v>
      </c>
      <c r="G27" s="162">
        <f t="shared" si="0"/>
        <v>46</v>
      </c>
    </row>
    <row r="28" spans="1:7" ht="30" customHeight="1" x14ac:dyDescent="0.25">
      <c r="A28" s="161">
        <f>SUBTOTAL(3,$C$3:World_Boss[[#This Row],[Name]])</f>
        <v>26</v>
      </c>
      <c r="B28" s="214" t="e" vm="439">
        <f>IFERROR(INDEX(WorldBossImg[Icon], MATCH(World_Boss[[#This Row],[Name]], WorldBossImg[Name], 0)), "")</f>
        <v>#VALUE!</v>
      </c>
      <c r="C28" s="214" t="s">
        <v>369</v>
      </c>
      <c r="D28" s="223">
        <v>4</v>
      </c>
      <c r="E28" s="161">
        <f>SUMIF(WorldBoss[Material],World_Boss[[#This Row],[Boss Name]],WorldBoss[Need to Farm])</f>
        <v>46</v>
      </c>
      <c r="F28" s="214">
        <f>IFERROR(INDEX(WorldBossInv[Quantity], MATCH(World_Boss[[#This Row],[Boss Name]], WorldBossInv[Icon], 0)), "")</f>
        <v>0</v>
      </c>
      <c r="G28" s="162">
        <f t="shared" si="0"/>
        <v>46</v>
      </c>
    </row>
    <row r="29" spans="1:7" ht="30" customHeight="1" x14ac:dyDescent="0.25">
      <c r="A29" s="161">
        <f>SUBTOTAL(3,$C$3:World_Boss[[#This Row],[Name]])</f>
        <v>27</v>
      </c>
      <c r="B29" s="214" t="e" vm="565">
        <f>IFERROR(INDEX(WorldBossImg[Icon], MATCH(World_Boss[[#This Row],[Name]], WorldBossImg[Name], 0)), "")</f>
        <v>#VALUE!</v>
      </c>
      <c r="C29" s="214" t="s">
        <v>379</v>
      </c>
      <c r="D29" s="223">
        <v>4.0999999999999996</v>
      </c>
      <c r="E29" s="161">
        <f>SUMIF(WorldBoss[Material],World_Boss[[#This Row],[Boss Name]],WorldBoss[Need to Farm])</f>
        <v>0</v>
      </c>
      <c r="F29" s="214">
        <f>IFERROR(INDEX(WorldBossInv[Quantity], MATCH(World_Boss[[#This Row],[Boss Name]], WorldBossInv[Icon], 0)), "")</f>
        <v>0</v>
      </c>
      <c r="G29" s="162">
        <f t="shared" si="0"/>
        <v>0</v>
      </c>
    </row>
    <row r="30" spans="1:7" ht="30" customHeight="1" x14ac:dyDescent="0.25">
      <c r="A30" s="161">
        <f>SUBTOTAL(3,$C$3:World_Boss[[#This Row],[Name]])</f>
        <v>28</v>
      </c>
      <c r="B30" s="214" t="e" vm="92">
        <f>IFERROR(INDEX(WorldBossImg[Icon], MATCH(World_Boss[[#This Row],[Name]], WorldBossImg[Name], 0)), "")</f>
        <v>#VALUE!</v>
      </c>
      <c r="C30" s="214" t="s">
        <v>389</v>
      </c>
      <c r="D30" s="223">
        <v>4.0999999999999996</v>
      </c>
      <c r="E30" s="161">
        <f>SUMIF(WorldBoss[Material],World_Boss[[#This Row],[Boss Name]],WorldBoss[Need to Farm])</f>
        <v>0</v>
      </c>
      <c r="F30" s="214">
        <f>IFERROR(INDEX(WorldBossInv[Quantity], MATCH(World_Boss[[#This Row],[Boss Name]], WorldBossInv[Icon], 0)), "")</f>
        <v>0</v>
      </c>
      <c r="G30" s="162">
        <f t="shared" si="0"/>
        <v>0</v>
      </c>
    </row>
    <row r="31" spans="1:7" ht="30" customHeight="1" x14ac:dyDescent="0.25">
      <c r="A31" s="161">
        <f>SUBTOTAL(3,$C$3:World_Boss[[#This Row],[Name]])</f>
        <v>29</v>
      </c>
      <c r="B31" s="214" t="e" vm="113">
        <f>IFERROR(INDEX(WorldBossImg[Icon], MATCH(World_Boss[[#This Row],[Name]], WorldBossImg[Name], 0)), "")</f>
        <v>#VALUE!</v>
      </c>
      <c r="C31" s="214" t="s">
        <v>401</v>
      </c>
      <c r="D31" s="223">
        <v>4.2</v>
      </c>
      <c r="E31" s="161">
        <f>SUMIF(WorldBoss[Material],World_Boss[[#This Row],[Boss Name]],WorldBoss[Need to Farm])</f>
        <v>0</v>
      </c>
      <c r="F31" s="214">
        <f>IFERROR(INDEX(WorldBossInv[Quantity], MATCH(World_Boss[[#This Row],[Boss Name]], WorldBossInv[Icon], 0)), "")</f>
        <v>0</v>
      </c>
      <c r="G31" s="162">
        <f t="shared" si="0"/>
        <v>0</v>
      </c>
    </row>
    <row r="32" spans="1:7" ht="30" customHeight="1" x14ac:dyDescent="0.25">
      <c r="A32" s="161">
        <f>SUBTOTAL(3,$C$3:World_Boss[[#This Row],[Name]])</f>
        <v>30</v>
      </c>
      <c r="B32" s="214" t="e" vm="449">
        <f>IFERROR(INDEX(WorldBossImg[Icon], MATCH(World_Boss[[#This Row],[Name]], WorldBossImg[Name], 0)), "")</f>
        <v>#VALUE!</v>
      </c>
      <c r="C32" s="214" t="s">
        <v>409</v>
      </c>
      <c r="D32" s="223">
        <v>4.4000000000000004</v>
      </c>
      <c r="E32" s="161">
        <f>SUMIF(WorldBoss[Material],World_Boss[[#This Row],[Boss Name]],WorldBoss[Need to Farm])</f>
        <v>20</v>
      </c>
      <c r="F32" s="214">
        <f>IFERROR(INDEX(WorldBossInv[Quantity], MATCH(World_Boss[[#This Row],[Boss Name]], WorldBossInv[Icon], 0)), "")</f>
        <v>0</v>
      </c>
      <c r="G32" s="162">
        <f t="shared" si="0"/>
        <v>20</v>
      </c>
    </row>
    <row r="33" spans="1:7" ht="30" customHeight="1" thickBot="1" x14ac:dyDescent="0.3">
      <c r="A33" s="161">
        <f>SUBTOTAL(3,$C$3:World_Boss[[#This Row],[Name]])</f>
        <v>31</v>
      </c>
      <c r="B33" s="214" t="e" vm="552">
        <f>IFERROR(INDEX(WorldBossImg[Icon], MATCH(World_Boss[[#This Row],[Name]], WorldBossImg[Name], 0)), "")</f>
        <v>#VALUE!</v>
      </c>
      <c r="C33" s="214" t="s">
        <v>419</v>
      </c>
      <c r="D33" s="223">
        <v>4.5999999999999996</v>
      </c>
      <c r="E33" s="163">
        <f>SUMIF(WorldBoss[Material],World_Boss[[#This Row],[Boss Name]],WorldBoss[Need to Farm])</f>
        <v>0</v>
      </c>
      <c r="F33" s="164">
        <f>IFERROR(INDEX(WorldBossInv[Quantity], MATCH(World_Boss[[#This Row],[Boss Name]], WorldBossInv[Icon], 0)), "")</f>
        <v>0</v>
      </c>
      <c r="G33" s="165">
        <f t="shared" si="0"/>
        <v>0</v>
      </c>
    </row>
    <row r="34" spans="1:7" ht="15.75" thickBot="1" x14ac:dyDescent="0.3">
      <c r="A34" s="175" t="s">
        <v>758</v>
      </c>
      <c r="B34" s="176"/>
      <c r="C34" s="176"/>
      <c r="D34" s="177"/>
      <c r="E34" s="164">
        <f>SUBTOTAL(109,World_Boss[Mats Needed])</f>
        <v>1400</v>
      </c>
      <c r="F34" s="164">
        <f>SUBTOTAL(109,World_Boss[Mats Acquired])</f>
        <v>0</v>
      </c>
      <c r="G34" s="165">
        <f>SUBTOTAL(109,World_Boss[Remaining Mats])</f>
        <v>1400</v>
      </c>
    </row>
    <row r="41" spans="1:7" x14ac:dyDescent="0.25">
      <c r="A41" s="14"/>
      <c r="B41" s="15"/>
      <c r="C41" s="15"/>
      <c r="D41" s="15"/>
      <c r="E41" s="14" t="s">
        <v>763</v>
      </c>
      <c r="F41" s="11"/>
      <c r="G41" s="12"/>
    </row>
    <row r="42" spans="1:7" x14ac:dyDescent="0.25">
      <c r="A42" s="21"/>
      <c r="B42" s="16"/>
      <c r="C42" s="16"/>
      <c r="D42" s="16"/>
      <c r="E42" s="21" t="s">
        <v>764</v>
      </c>
      <c r="F42" s="198" t="s">
        <v>765</v>
      </c>
      <c r="G42" s="199"/>
    </row>
    <row r="43" spans="1:7" x14ac:dyDescent="0.25">
      <c r="A43" s="5"/>
      <c r="E43" s="2" t="s">
        <v>766</v>
      </c>
      <c r="F43" s="2">
        <f>(60/8)*24</f>
        <v>180</v>
      </c>
      <c r="G43" s="142" t="s">
        <v>767</v>
      </c>
    </row>
    <row r="44" spans="1:7" x14ac:dyDescent="0.25">
      <c r="A44" s="5"/>
      <c r="E44" s="2" t="s">
        <v>768</v>
      </c>
      <c r="F44" s="2">
        <v>40</v>
      </c>
      <c r="G44" s="142" t="s">
        <v>767</v>
      </c>
    </row>
    <row r="45" spans="1:7" x14ac:dyDescent="0.25">
      <c r="A45" s="5"/>
      <c r="E45" s="5" t="s">
        <v>769</v>
      </c>
      <c r="F45" s="136">
        <f>F43/F44</f>
        <v>4.5</v>
      </c>
      <c r="G45" s="142" t="s">
        <v>770</v>
      </c>
    </row>
    <row r="46" spans="1:7" x14ac:dyDescent="0.25">
      <c r="A46" s="5"/>
      <c r="E46" s="5" t="s">
        <v>771</v>
      </c>
      <c r="F46" s="136">
        <v>2.5</v>
      </c>
      <c r="G46" s="142" t="s">
        <v>772</v>
      </c>
    </row>
    <row r="47" spans="1:7" x14ac:dyDescent="0.25">
      <c r="A47" s="5"/>
      <c r="E47" s="5" t="s">
        <v>773</v>
      </c>
      <c r="F47" s="136">
        <f>F45*F46</f>
        <v>11.25</v>
      </c>
      <c r="G47" s="142" t="s">
        <v>772</v>
      </c>
    </row>
    <row r="48" spans="1:7" x14ac:dyDescent="0.25">
      <c r="A48" s="5"/>
      <c r="C48" s="4"/>
      <c r="D48" s="4"/>
      <c r="E48" s="143" t="s">
        <v>774</v>
      </c>
      <c r="F48" s="137">
        <f>World_Boss[[#Totals],[Remaining Mats]]/F47</f>
        <v>124.44444444444444</v>
      </c>
      <c r="G48" s="144" t="s">
        <v>775</v>
      </c>
    </row>
    <row r="49" spans="1:7" x14ac:dyDescent="0.25">
      <c r="A49" s="7"/>
      <c r="B49" s="8"/>
      <c r="C49" s="17"/>
      <c r="D49" s="17"/>
      <c r="E49" s="145" t="s">
        <v>776</v>
      </c>
      <c r="F49" s="139">
        <f>F43*F48</f>
        <v>22400</v>
      </c>
      <c r="G49" s="146" t="s">
        <v>767</v>
      </c>
    </row>
    <row r="50" spans="1:7" x14ac:dyDescent="0.25">
      <c r="E50" s="141" t="s">
        <v>777</v>
      </c>
    </row>
  </sheetData>
  <protectedRanges>
    <protectedRange sqref="F3:F31" name="World Boss Mats"/>
  </protectedRanges>
  <mergeCells count="2">
    <mergeCell ref="F42:G42"/>
    <mergeCell ref="A1:G1"/>
  </mergeCells>
  <dataValidations count="1">
    <dataValidation type="whole" operator="greaterThanOrEqual" allowBlank="1" showInputMessage="1" showErrorMessage="1" errorTitle="Numeric Values Only!" error="Please put numeric values only." sqref="F3:F33" xr:uid="{2A86AE08-7CF5-4CD4-97E1-B726D9C1700D}">
      <formula1>0</formula1>
    </dataValidation>
  </dataValidations>
  <pageMargins left="0.7" right="0.7" top="0.75" bottom="0.75" header="0.3" footer="0.3"/>
  <legacyDrawing r:id="rId1"/>
  <tableParts count="1">
    <tablePart r:id="rId2"/>
  </tableParts>
  <extLst>
    <ext xmlns:x15="http://schemas.microsoft.com/office/spreadsheetml/2010/11/main" uri="{F7C9EE02-42E1-4005-9D12-6889AFFD525C}">
      <x15:webExtensions xmlns:xm="http://schemas.microsoft.com/office/excel/2006/main">
        <x15:webExtension appRef="{9E65AD8B-7BB3-4A71-85F6-D011FA0D28F3}">
          <xm:f>'World Boss'!1:1048576</xm:f>
        </x15:webExtension>
        <x15:webExtension appRef="{236CC71B-C42B-43C8-92CF-6A62E49BDB20}">
          <xm:f>'World Boss'!#REF!</xm:f>
        </x15:webExtension>
      </x15:webExtens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6628D-BCE7-4F87-8C14-89EDC18292AB}">
  <sheetPr codeName="Sheet4">
    <tabColor rgb="FFFFC000"/>
  </sheetPr>
  <dimension ref="A1:AA31"/>
  <sheetViews>
    <sheetView zoomScale="85" zoomScaleNormal="85" workbookViewId="0">
      <selection activeCell="I14" sqref="I14"/>
    </sheetView>
    <sheetView workbookViewId="1">
      <selection sqref="A1:V1"/>
    </sheetView>
  </sheetViews>
  <sheetFormatPr defaultRowHeight="15" x14ac:dyDescent="0.25"/>
  <cols>
    <col min="1" max="1" width="9.140625" style="2"/>
    <col min="2" max="2" width="13.85546875" style="2" customWidth="1"/>
    <col min="3" max="3" width="12.7109375" style="2" hidden="1" customWidth="1"/>
    <col min="4" max="4" width="12.7109375" style="2" customWidth="1"/>
    <col min="5" max="20" width="9.140625" style="2"/>
    <col min="21" max="21" width="9.140625" style="2" customWidth="1"/>
    <col min="22" max="16384" width="9.140625" style="2"/>
  </cols>
  <sheetData>
    <row r="1" spans="1:22" ht="33.75" customHeight="1" thickBot="1" x14ac:dyDescent="0.3">
      <c r="A1" s="231" t="s">
        <v>778</v>
      </c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29"/>
      <c r="Q1" s="229"/>
      <c r="R1" s="229"/>
      <c r="S1" s="229"/>
      <c r="T1" s="229"/>
      <c r="U1" s="229"/>
      <c r="V1" s="230"/>
    </row>
    <row r="2" spans="1:22" x14ac:dyDescent="0.25">
      <c r="A2" s="158" t="s">
        <v>704</v>
      </c>
      <c r="B2" s="159" t="s">
        <v>2</v>
      </c>
      <c r="C2" s="159" t="s">
        <v>705</v>
      </c>
      <c r="D2" s="160" t="s">
        <v>759</v>
      </c>
      <c r="E2" s="211" t="s">
        <v>865</v>
      </c>
      <c r="F2" s="212"/>
      <c r="G2" s="212"/>
      <c r="H2" s="212"/>
      <c r="I2" s="212"/>
      <c r="J2" s="213"/>
      <c r="K2" s="211" t="s">
        <v>779</v>
      </c>
      <c r="L2" s="212"/>
      <c r="M2" s="212"/>
      <c r="N2" s="212"/>
      <c r="O2" s="212"/>
      <c r="P2" s="213"/>
      <c r="Q2" s="211" t="s">
        <v>780</v>
      </c>
      <c r="R2" s="212"/>
      <c r="S2" s="212"/>
      <c r="T2" s="212"/>
      <c r="U2" s="212"/>
      <c r="V2" s="213"/>
    </row>
    <row r="3" spans="1:22" ht="15" customHeight="1" thickBot="1" x14ac:dyDescent="0.3">
      <c r="A3" s="166" t="s">
        <v>704</v>
      </c>
      <c r="B3" s="167" t="s">
        <v>2</v>
      </c>
      <c r="C3" s="168" t="s">
        <v>705</v>
      </c>
      <c r="D3" s="169" t="s">
        <v>759</v>
      </c>
      <c r="E3" s="166" t="s">
        <v>717</v>
      </c>
      <c r="F3" s="167" t="s">
        <v>869</v>
      </c>
      <c r="G3" s="167" t="s">
        <v>716</v>
      </c>
      <c r="H3" s="167" t="s">
        <v>871</v>
      </c>
      <c r="I3" s="167" t="s">
        <v>715</v>
      </c>
      <c r="J3" s="169" t="s">
        <v>870</v>
      </c>
      <c r="K3" s="166" t="s">
        <v>867</v>
      </c>
      <c r="L3" s="167" t="s">
        <v>873</v>
      </c>
      <c r="M3" s="167" t="s">
        <v>874</v>
      </c>
      <c r="N3" s="167" t="s">
        <v>875</v>
      </c>
      <c r="O3" s="167" t="s">
        <v>876</v>
      </c>
      <c r="P3" s="169" t="s">
        <v>877</v>
      </c>
      <c r="Q3" s="166" t="s">
        <v>868</v>
      </c>
      <c r="R3" s="167" t="s">
        <v>872</v>
      </c>
      <c r="S3" s="167" t="s">
        <v>878</v>
      </c>
      <c r="T3" s="167" t="s">
        <v>879</v>
      </c>
      <c r="U3" s="167" t="s">
        <v>880</v>
      </c>
      <c r="V3" s="169" t="s">
        <v>881</v>
      </c>
    </row>
    <row r="4" spans="1:22" ht="30" customHeight="1" x14ac:dyDescent="0.25">
      <c r="A4" s="161">
        <f>SUBTOTAL(3,$B$4:Talent_Books[[#This Row],[Book Region]])</f>
        <v>1</v>
      </c>
      <c r="B4" s="214" t="s">
        <v>784</v>
      </c>
      <c r="C4" s="232" t="s">
        <v>851</v>
      </c>
      <c r="D4" s="172">
        <v>1</v>
      </c>
      <c r="E4" s="161" t="e" vm="722">
        <f>IFERROR(INDEX(TalentBooksImg[Icon], MATCH(_xlfn.CONCAT("teachingsof",Talent_Books[[#This Row],[NameHelper]]), TalentBooksImg[Name], 0)), "")</f>
        <v>#VALUE!</v>
      </c>
      <c r="F4" s="2">
        <f>SUMIF(TalentBook[Book],Talent_Books[[#This Row],[4* Book]],TalentBook[2* Book])</f>
        <v>122</v>
      </c>
      <c r="G4" s="5" t="e" vm="728">
        <f>IFERROR(INDEX(TalentBooksImg[Icon], MATCH(_xlfn.CONCAT("guideto",Talent_Books[[#This Row],[NameHelper]]), TalentBooksImg[Name], 0)), "")</f>
        <v>#VALUE!</v>
      </c>
      <c r="H4" s="6">
        <f>SUMIF(TalentBook[Book],Talent_Books[[#This Row],[4* Book]],TalentBook[3* Book])</f>
        <v>194</v>
      </c>
      <c r="I4" s="2" t="e" vm="9">
        <f>IFERROR(INDEX(TalentBooksImg[Icon], MATCH(_xlfn.CONCAT("philosophiesof",Talent_Books[[#This Row],[NameHelper]]), TalentBooksImg[Name], 0)), "")</f>
        <v>#VALUE!</v>
      </c>
      <c r="J4" s="162">
        <f>SUMIF(TalentBook[Book],Talent_Books[[#This Row],[4* Book]],TalentBook[4* Book])</f>
        <v>198</v>
      </c>
      <c r="K4" s="161" t="e" vm="722">
        <f>IFERROR(INDEX(TalentBooksImg[Icon], MATCH(_xlfn.CONCAT("teachingsof",Talent_Books[[#This Row],[NameHelper]]), TalentBooksImg[Name], 0)), "")</f>
        <v>#VALUE!</v>
      </c>
      <c r="L4" s="2">
        <f>IFERROR(INDEX(TalentBooksInv[Quantity], MATCH(Talent_Books[[#This Row],[2* Book2]], TalentBooksInv[Icon], 0)), "")</f>
        <v>0</v>
      </c>
      <c r="M4" s="5" t="e" vm="728">
        <f>IFERROR(INDEX(TalentBooksImg[Icon], MATCH(_xlfn.CONCAT("guideto",Talent_Books[[#This Row],[NameHelper]]), TalentBooksImg[Name], 0)), "")</f>
        <v>#VALUE!</v>
      </c>
      <c r="N4" s="6">
        <f>IFERROR(INDEX(TalentBooksInv[Quantity], MATCH(Talent_Books[[#This Row],[3* Book2]], TalentBooksInv[Icon], 0)), "")</f>
        <v>0</v>
      </c>
      <c r="O4" s="2" t="e" vm="9">
        <f>IFERROR(INDEX(TalentBooksImg[Icon], MATCH(_xlfn.CONCAT("philosophiesof",Talent_Books[[#This Row],[NameHelper]]), TalentBooksImg[Name], 0)), "")</f>
        <v>#VALUE!</v>
      </c>
      <c r="P4" s="162">
        <f>IFERROR(INDEX(TalentBooksInv[Quantity], MATCH(Talent_Books[[#This Row],[4* Book2]], TalentBooksInv[Icon], 0)), "")</f>
        <v>0</v>
      </c>
      <c r="Q4" s="161" t="e" vm="722">
        <f>IFERROR(INDEX(TalentBooksImg[Icon], MATCH(_xlfn.CONCAT("teachingsof",Talent_Books[[#This Row],[NameHelper]]), TalentBooksImg[Name], 0)), "")</f>
        <v>#VALUE!</v>
      </c>
      <c r="R4" s="2">
        <f>Talent_Books[[#This Row],[2* Need]]-Talent_Books[[#This Row],[2* Need2]]</f>
        <v>122</v>
      </c>
      <c r="S4" s="5" t="e" vm="728">
        <f>IFERROR(INDEX(TalentBooksImg[Icon], MATCH(_xlfn.CONCAT("guideto",Talent_Books[[#This Row],[NameHelper]]), TalentBooksImg[Name], 0)), "")</f>
        <v>#VALUE!</v>
      </c>
      <c r="T4" s="6">
        <f>Talent_Books[[#This Row],[3* Need]]-Talent_Books[[#This Row],[3* Need2]]</f>
        <v>194</v>
      </c>
      <c r="U4" s="2" t="e" vm="9">
        <f>IFERROR(INDEX(TalentBooksImg[Icon], MATCH(_xlfn.CONCAT("philosophiesof",Talent_Books[[#This Row],[NameHelper]]), TalentBooksImg[Name], 0)), "")</f>
        <v>#VALUE!</v>
      </c>
      <c r="V4" s="162">
        <f>Talent_Books[[#This Row],[4* Need]]-Talent_Books[[#This Row],[4* Need2]]</f>
        <v>198</v>
      </c>
    </row>
    <row r="5" spans="1:22" ht="30" customHeight="1" x14ac:dyDescent="0.25">
      <c r="A5" s="161">
        <f>SUBTOTAL(3,$B$4:Talent_Books[[#This Row],[Book Region]])</f>
        <v>2</v>
      </c>
      <c r="B5" s="2" t="s">
        <v>784</v>
      </c>
      <c r="C5" s="157" t="s">
        <v>852</v>
      </c>
      <c r="D5" s="172">
        <v>1</v>
      </c>
      <c r="E5" s="161" t="e" vm="738">
        <f>IFERROR(INDEX(TalentBooksImg[Icon], MATCH(_xlfn.CONCAT("teachingsof",Talent_Books[[#This Row],[NameHelper]]), TalentBooksImg[Name], 0)), "")</f>
        <v>#VALUE!</v>
      </c>
      <c r="F5" s="2">
        <f>SUMIF(TalentBook[Book],Talent_Books[[#This Row],[4* Book]],TalentBook[2* Book])</f>
        <v>87</v>
      </c>
      <c r="G5" s="5" t="e" vm="741">
        <f>IFERROR(INDEX(TalentBooksImg[Icon], MATCH(_xlfn.CONCAT("guideto",Talent_Books[[#This Row],[NameHelper]]), TalentBooksImg[Name], 0)), "")</f>
        <v>#VALUE!</v>
      </c>
      <c r="H5" s="6">
        <f>SUMIF(TalentBook[Book],Talent_Books[[#This Row],[4* Book]],TalentBook[3* Book])</f>
        <v>150</v>
      </c>
      <c r="I5" s="2" t="e" vm="53">
        <f>IFERROR(INDEX(TalentBooksImg[Icon], MATCH(_xlfn.CONCAT("philosophiesof",Talent_Books[[#This Row],[NameHelper]]), TalentBooksImg[Name], 0)), "")</f>
        <v>#VALUE!</v>
      </c>
      <c r="J5" s="162">
        <f>SUMIF(TalentBook[Book],Talent_Books[[#This Row],[4* Book]],TalentBook[4* Book])</f>
        <v>218</v>
      </c>
      <c r="K5" s="161" t="e" vm="738">
        <f>IFERROR(INDEX(TalentBooksImg[Icon], MATCH(_xlfn.CONCAT("teachingsof",Talent_Books[[#This Row],[NameHelper]]), TalentBooksImg[Name], 0)), "")</f>
        <v>#VALUE!</v>
      </c>
      <c r="L5" s="2">
        <f>IFERROR(INDEX(TalentBooksInv[Quantity], MATCH(Talent_Books[[#This Row],[2* Book2]], TalentBooksInv[Icon], 0)), "")</f>
        <v>0</v>
      </c>
      <c r="M5" s="5" t="e" vm="741">
        <f>IFERROR(INDEX(TalentBooksImg[Icon], MATCH(_xlfn.CONCAT("guideto",Talent_Books[[#This Row],[NameHelper]]), TalentBooksImg[Name], 0)), "")</f>
        <v>#VALUE!</v>
      </c>
      <c r="N5" s="6">
        <f>IFERROR(INDEX(TalentBooksInv[Quantity], MATCH(Talent_Books[[#This Row],[3* Book2]], TalentBooksInv[Icon], 0)), "")</f>
        <v>0</v>
      </c>
      <c r="O5" s="2" t="e" vm="53">
        <f>IFERROR(INDEX(TalentBooksImg[Icon], MATCH(_xlfn.CONCAT("philosophiesof",Talent_Books[[#This Row],[NameHelper]]), TalentBooksImg[Name], 0)), "")</f>
        <v>#VALUE!</v>
      </c>
      <c r="P5" s="162">
        <f>IFERROR(INDEX(TalentBooksInv[Quantity], MATCH(Talent_Books[[#This Row],[4* Book2]], TalentBooksInv[Icon], 0)), "")</f>
        <v>0</v>
      </c>
      <c r="Q5" s="161" t="e" vm="738">
        <f>IFERROR(INDEX(TalentBooksImg[Icon], MATCH(_xlfn.CONCAT("teachingsof",Talent_Books[[#This Row],[NameHelper]]), TalentBooksImg[Name], 0)), "")</f>
        <v>#VALUE!</v>
      </c>
      <c r="R5" s="2">
        <f>Talent_Books[[#This Row],[2* Need]]-Talent_Books[[#This Row],[2* Need2]]</f>
        <v>87</v>
      </c>
      <c r="S5" s="5" t="e" vm="741">
        <f>IFERROR(INDEX(TalentBooksImg[Icon], MATCH(_xlfn.CONCAT("guideto",Talent_Books[[#This Row],[NameHelper]]), TalentBooksImg[Name], 0)), "")</f>
        <v>#VALUE!</v>
      </c>
      <c r="T5" s="6">
        <f>Talent_Books[[#This Row],[3* Need]]-Talent_Books[[#This Row],[3* Need2]]</f>
        <v>150</v>
      </c>
      <c r="U5" s="2" t="e" vm="53">
        <f>IFERROR(INDEX(TalentBooksImg[Icon], MATCH(_xlfn.CONCAT("philosophiesof",Talent_Books[[#This Row],[NameHelper]]), TalentBooksImg[Name], 0)), "")</f>
        <v>#VALUE!</v>
      </c>
      <c r="V5" s="162">
        <f>Talent_Books[[#This Row],[4* Need]]-Talent_Books[[#This Row],[4* Need2]]</f>
        <v>218</v>
      </c>
    </row>
    <row r="6" spans="1:22" ht="30" customHeight="1" x14ac:dyDescent="0.25">
      <c r="A6" s="161">
        <f>SUBTOTAL(3,$B$4:Talent_Books[[#This Row],[Book Region]])</f>
        <v>3</v>
      </c>
      <c r="B6" s="2" t="s">
        <v>784</v>
      </c>
      <c r="C6" s="157" t="s">
        <v>853</v>
      </c>
      <c r="D6" s="172">
        <v>1</v>
      </c>
      <c r="E6" s="161" t="e" vm="748">
        <f>IFERROR(INDEX(TalentBooksImg[Icon], MATCH(_xlfn.CONCAT("teachingsof",Talent_Books[[#This Row],[NameHelper]]), TalentBooksImg[Name], 0)), "")</f>
        <v>#VALUE!</v>
      </c>
      <c r="F6" s="2">
        <f>SUMIF(TalentBook[Book],Talent_Books[[#This Row],[4* Book]],TalentBook[2* Book])</f>
        <v>94</v>
      </c>
      <c r="G6" s="5" t="e" vm="752">
        <f>IFERROR(INDEX(TalentBooksImg[Icon], MATCH(_xlfn.CONCAT("guideto",Talent_Books[[#This Row],[NameHelper]]), TalentBooksImg[Name], 0)), "")</f>
        <v>#VALUE!</v>
      </c>
      <c r="H6" s="6">
        <f>SUMIF(TalentBook[Book],Talent_Books[[#This Row],[4* Book]],TalentBook[3* Book])</f>
        <v>160</v>
      </c>
      <c r="I6" s="2" t="e" vm="362">
        <f>IFERROR(INDEX(TalentBooksImg[Icon], MATCH(_xlfn.CONCAT("philosophiesof",Talent_Books[[#This Row],[NameHelper]]), TalentBooksImg[Name], 0)), "")</f>
        <v>#VALUE!</v>
      </c>
      <c r="J6" s="162">
        <f>SUMIF(TalentBook[Book],Talent_Books[[#This Row],[4* Book]],TalentBook[4* Book])</f>
        <v>188</v>
      </c>
      <c r="K6" s="161" t="e" vm="748">
        <f>IFERROR(INDEX(TalentBooksImg[Icon], MATCH(_xlfn.CONCAT("teachingsof",Talent_Books[[#This Row],[NameHelper]]), TalentBooksImg[Name], 0)), "")</f>
        <v>#VALUE!</v>
      </c>
      <c r="L6" s="2">
        <f>IFERROR(INDEX(TalentBooksInv[Quantity], MATCH(Talent_Books[[#This Row],[2* Book2]], TalentBooksInv[Icon], 0)), "")</f>
        <v>0</v>
      </c>
      <c r="M6" s="5" t="e" vm="752">
        <f>IFERROR(INDEX(TalentBooksImg[Icon], MATCH(_xlfn.CONCAT("guideto",Talent_Books[[#This Row],[NameHelper]]), TalentBooksImg[Name], 0)), "")</f>
        <v>#VALUE!</v>
      </c>
      <c r="N6" s="6">
        <f>IFERROR(INDEX(TalentBooksInv[Quantity], MATCH(Talent_Books[[#This Row],[3* Book2]], TalentBooksInv[Icon], 0)), "")</f>
        <v>0</v>
      </c>
      <c r="O6" s="2" t="e" vm="362">
        <f>IFERROR(INDEX(TalentBooksImg[Icon], MATCH(_xlfn.CONCAT("philosophiesof",Talent_Books[[#This Row],[NameHelper]]), TalentBooksImg[Name], 0)), "")</f>
        <v>#VALUE!</v>
      </c>
      <c r="P6" s="162">
        <f>IFERROR(INDEX(TalentBooksInv[Quantity], MATCH(Talent_Books[[#This Row],[4* Book2]], TalentBooksInv[Icon], 0)), "")</f>
        <v>0</v>
      </c>
      <c r="Q6" s="161" t="e" vm="748">
        <f>IFERROR(INDEX(TalentBooksImg[Icon], MATCH(_xlfn.CONCAT("teachingsof",Talent_Books[[#This Row],[NameHelper]]), TalentBooksImg[Name], 0)), "")</f>
        <v>#VALUE!</v>
      </c>
      <c r="R6" s="2">
        <f>Talent_Books[[#This Row],[2* Need]]-Talent_Books[[#This Row],[2* Need2]]</f>
        <v>94</v>
      </c>
      <c r="S6" s="5" t="e" vm="752">
        <f>IFERROR(INDEX(TalentBooksImg[Icon], MATCH(_xlfn.CONCAT("guideto",Talent_Books[[#This Row],[NameHelper]]), TalentBooksImg[Name], 0)), "")</f>
        <v>#VALUE!</v>
      </c>
      <c r="T6" s="6">
        <f>Talent_Books[[#This Row],[3* Need]]-Talent_Books[[#This Row],[3* Need2]]</f>
        <v>160</v>
      </c>
      <c r="U6" s="2" t="e" vm="362">
        <f>IFERROR(INDEX(TalentBooksImg[Icon], MATCH(_xlfn.CONCAT("philosophiesof",Talent_Books[[#This Row],[NameHelper]]), TalentBooksImg[Name], 0)), "")</f>
        <v>#VALUE!</v>
      </c>
      <c r="V6" s="162">
        <f>Talent_Books[[#This Row],[4* Need]]-Talent_Books[[#This Row],[4* Need2]]</f>
        <v>188</v>
      </c>
    </row>
    <row r="7" spans="1:22" ht="30" customHeight="1" x14ac:dyDescent="0.25">
      <c r="A7" s="161">
        <f>SUBTOTAL(3,$B$4:Talent_Books[[#This Row],[Book Region]])</f>
        <v>4</v>
      </c>
      <c r="B7" s="2" t="s">
        <v>785</v>
      </c>
      <c r="C7" s="157" t="s">
        <v>854</v>
      </c>
      <c r="D7" s="172">
        <v>1.01</v>
      </c>
      <c r="E7" s="161" t="e" vm="758">
        <f>IFERROR(INDEX(TalentBooksImg[Icon], MATCH(_xlfn.CONCAT("teachingsof",Talent_Books[[#This Row],[NameHelper]]), TalentBooksImg[Name], 0)), "")</f>
        <v>#VALUE!</v>
      </c>
      <c r="F7" s="2">
        <f>SUMIF(TalentBook[Book],Talent_Books[[#This Row],[4* Book]],TalentBook[2* Book])</f>
        <v>97</v>
      </c>
      <c r="G7" s="5" t="e" vm="762">
        <f>IFERROR(INDEX(TalentBooksImg[Icon], MATCH(_xlfn.CONCAT("guideto",Talent_Books[[#This Row],[NameHelper]]), TalentBooksImg[Name], 0)), "")</f>
        <v>#VALUE!</v>
      </c>
      <c r="H7" s="6">
        <f>SUMIF(TalentBook[Book],Talent_Books[[#This Row],[4* Book]],TalentBook[3* Book])</f>
        <v>166</v>
      </c>
      <c r="I7" s="2" t="e" vm="349">
        <f>IFERROR(INDEX(TalentBooksImg[Icon], MATCH(_xlfn.CONCAT("philosophiesof",Talent_Books[[#This Row],[NameHelper]]), TalentBooksImg[Name], 0)), "")</f>
        <v>#VALUE!</v>
      </c>
      <c r="J7" s="162">
        <f>SUMIF(TalentBook[Book],Talent_Books[[#This Row],[4* Book]],TalentBook[4* Book])</f>
        <v>176</v>
      </c>
      <c r="K7" s="161" t="e" vm="758">
        <f>IFERROR(INDEX(TalentBooksImg[Icon], MATCH(_xlfn.CONCAT("teachingsof",Talent_Books[[#This Row],[NameHelper]]), TalentBooksImg[Name], 0)), "")</f>
        <v>#VALUE!</v>
      </c>
      <c r="L7" s="2">
        <f>IFERROR(INDEX(TalentBooksInv[Quantity], MATCH(Talent_Books[[#This Row],[2* Book2]], TalentBooksInv[Icon], 0)), "")</f>
        <v>0</v>
      </c>
      <c r="M7" s="5" t="e" vm="762">
        <f>IFERROR(INDEX(TalentBooksImg[Icon], MATCH(_xlfn.CONCAT("guideto",Talent_Books[[#This Row],[NameHelper]]), TalentBooksImg[Name], 0)), "")</f>
        <v>#VALUE!</v>
      </c>
      <c r="N7" s="6">
        <f>IFERROR(INDEX(TalentBooksInv[Quantity], MATCH(Talent_Books[[#This Row],[3* Book2]], TalentBooksInv[Icon], 0)), "")</f>
        <v>0</v>
      </c>
      <c r="O7" s="2" t="e" vm="349">
        <f>IFERROR(INDEX(TalentBooksImg[Icon], MATCH(_xlfn.CONCAT("philosophiesof",Talent_Books[[#This Row],[NameHelper]]), TalentBooksImg[Name], 0)), "")</f>
        <v>#VALUE!</v>
      </c>
      <c r="P7" s="162">
        <f>IFERROR(INDEX(TalentBooksInv[Quantity], MATCH(Talent_Books[[#This Row],[4* Book2]], TalentBooksInv[Icon], 0)), "")</f>
        <v>0</v>
      </c>
      <c r="Q7" s="161" t="e" vm="758">
        <f>IFERROR(INDEX(TalentBooksImg[Icon], MATCH(_xlfn.CONCAT("teachingsof",Talent_Books[[#This Row],[NameHelper]]), TalentBooksImg[Name], 0)), "")</f>
        <v>#VALUE!</v>
      </c>
      <c r="R7" s="2">
        <f>Talent_Books[[#This Row],[2* Need]]-Talent_Books[[#This Row],[2* Need2]]</f>
        <v>97</v>
      </c>
      <c r="S7" s="5" t="e" vm="762">
        <f>IFERROR(INDEX(TalentBooksImg[Icon], MATCH(_xlfn.CONCAT("guideto",Talent_Books[[#This Row],[NameHelper]]), TalentBooksImg[Name], 0)), "")</f>
        <v>#VALUE!</v>
      </c>
      <c r="T7" s="6">
        <f>Talent_Books[[#This Row],[3* Need]]-Talent_Books[[#This Row],[3* Need2]]</f>
        <v>166</v>
      </c>
      <c r="U7" s="2" t="e" vm="349">
        <f>IFERROR(INDEX(TalentBooksImg[Icon], MATCH(_xlfn.CONCAT("philosophiesof",Talent_Books[[#This Row],[NameHelper]]), TalentBooksImg[Name], 0)), "")</f>
        <v>#VALUE!</v>
      </c>
      <c r="V7" s="162">
        <f>Talent_Books[[#This Row],[4* Need]]-Talent_Books[[#This Row],[4* Need2]]</f>
        <v>176</v>
      </c>
    </row>
    <row r="8" spans="1:22" ht="30" customHeight="1" x14ac:dyDescent="0.25">
      <c r="A8" s="161">
        <f>SUBTOTAL(3,$B$4:Talent_Books[[#This Row],[Book Region]])</f>
        <v>5</v>
      </c>
      <c r="B8" s="2" t="s">
        <v>785</v>
      </c>
      <c r="C8" s="157" t="s">
        <v>855</v>
      </c>
      <c r="D8" s="172">
        <v>1.01</v>
      </c>
      <c r="E8" s="161" t="e" vm="768">
        <f>IFERROR(INDEX(TalentBooksImg[Icon], MATCH(_xlfn.CONCAT("teachingsof",Talent_Books[[#This Row],[NameHelper]]), TalentBooksImg[Name], 0)), "")</f>
        <v>#VALUE!</v>
      </c>
      <c r="F8" s="2">
        <f>SUMIF(TalentBook[Book],Talent_Books[[#This Row],[4* Book]],TalentBook[2* Book])</f>
        <v>81</v>
      </c>
      <c r="G8" s="5" t="e" vm="770">
        <f>IFERROR(INDEX(TalentBooksImg[Icon], MATCH(_xlfn.CONCAT("guideto",Talent_Books[[#This Row],[NameHelper]]), TalentBooksImg[Name], 0)), "")</f>
        <v>#VALUE!</v>
      </c>
      <c r="H8" s="6">
        <f>SUMIF(TalentBook[Book],Talent_Books[[#This Row],[4* Book]],TalentBook[3* Book])</f>
        <v>117</v>
      </c>
      <c r="I8" s="2" t="e" vm="211">
        <f>IFERROR(INDEX(TalentBooksImg[Icon], MATCH(_xlfn.CONCAT("philosophiesof",Talent_Books[[#This Row],[NameHelper]]), TalentBooksImg[Name], 0)), "")</f>
        <v>#VALUE!</v>
      </c>
      <c r="J8" s="162">
        <f>SUMIF(TalentBook[Book],Talent_Books[[#This Row],[4* Book]],TalentBook[4* Book])</f>
        <v>156</v>
      </c>
      <c r="K8" s="161" t="e" vm="768">
        <f>IFERROR(INDEX(TalentBooksImg[Icon], MATCH(_xlfn.CONCAT("teachingsof",Talent_Books[[#This Row],[NameHelper]]), TalentBooksImg[Name], 0)), "")</f>
        <v>#VALUE!</v>
      </c>
      <c r="L8" s="2">
        <f>IFERROR(INDEX(TalentBooksInv[Quantity], MATCH(Talent_Books[[#This Row],[2* Book2]], TalentBooksInv[Icon], 0)), "")</f>
        <v>0</v>
      </c>
      <c r="M8" s="5" t="e" vm="770">
        <f>IFERROR(INDEX(TalentBooksImg[Icon], MATCH(_xlfn.CONCAT("guideto",Talent_Books[[#This Row],[NameHelper]]), TalentBooksImg[Name], 0)), "")</f>
        <v>#VALUE!</v>
      </c>
      <c r="N8" s="6">
        <f>IFERROR(INDEX(TalentBooksInv[Quantity], MATCH(Talent_Books[[#This Row],[3* Book2]], TalentBooksInv[Icon], 0)), "")</f>
        <v>0</v>
      </c>
      <c r="O8" s="2" t="e" vm="211">
        <f>IFERROR(INDEX(TalentBooksImg[Icon], MATCH(_xlfn.CONCAT("philosophiesof",Talent_Books[[#This Row],[NameHelper]]), TalentBooksImg[Name], 0)), "")</f>
        <v>#VALUE!</v>
      </c>
      <c r="P8" s="162">
        <f>IFERROR(INDEX(TalentBooksInv[Quantity], MATCH(Talent_Books[[#This Row],[4* Book2]], TalentBooksInv[Icon], 0)), "")</f>
        <v>0</v>
      </c>
      <c r="Q8" s="161" t="e" vm="768">
        <f>IFERROR(INDEX(TalentBooksImg[Icon], MATCH(_xlfn.CONCAT("teachingsof",Talent_Books[[#This Row],[NameHelper]]), TalentBooksImg[Name], 0)), "")</f>
        <v>#VALUE!</v>
      </c>
      <c r="R8" s="2">
        <f>Talent_Books[[#This Row],[2* Need]]-Talent_Books[[#This Row],[2* Need2]]</f>
        <v>81</v>
      </c>
      <c r="S8" s="5" t="e" vm="770">
        <f>IFERROR(INDEX(TalentBooksImg[Icon], MATCH(_xlfn.CONCAT("guideto",Talent_Books[[#This Row],[NameHelper]]), TalentBooksImg[Name], 0)), "")</f>
        <v>#VALUE!</v>
      </c>
      <c r="T8" s="6">
        <f>Talent_Books[[#This Row],[3* Need]]-Talent_Books[[#This Row],[3* Need2]]</f>
        <v>117</v>
      </c>
      <c r="U8" s="2" t="e" vm="211">
        <f>IFERROR(INDEX(TalentBooksImg[Icon], MATCH(_xlfn.CONCAT("philosophiesof",Talent_Books[[#This Row],[NameHelper]]), TalentBooksImg[Name], 0)), "")</f>
        <v>#VALUE!</v>
      </c>
      <c r="V8" s="162">
        <f>Talent_Books[[#This Row],[4* Need]]-Talent_Books[[#This Row],[4* Need2]]</f>
        <v>156</v>
      </c>
    </row>
    <row r="9" spans="1:22" ht="30" customHeight="1" x14ac:dyDescent="0.25">
      <c r="A9" s="161">
        <f>SUBTOTAL(3,$B$4:Talent_Books[[#This Row],[Book Region]])</f>
        <v>6</v>
      </c>
      <c r="B9" s="2" t="s">
        <v>785</v>
      </c>
      <c r="C9" s="157" t="s">
        <v>866</v>
      </c>
      <c r="D9" s="172">
        <v>1.01</v>
      </c>
      <c r="E9" s="161" t="e" vm="773">
        <f>IFERROR(INDEX(TalentBooksImg[Icon], MATCH(_xlfn.CONCAT("teachingsof",Talent_Books[[#This Row],[NameHelper]]), TalentBooksImg[Name], 0)), "")</f>
        <v>#VALUE!</v>
      </c>
      <c r="F9" s="2">
        <f>SUMIF(TalentBook[Book],Talent_Books[[#This Row],[4* Book]],TalentBook[2* Book])</f>
        <v>75</v>
      </c>
      <c r="G9" s="5" t="e" vm="774">
        <f>IFERROR(INDEX(TalentBooksImg[Icon], MATCH(_xlfn.CONCAT("guideto",Talent_Books[[#This Row],[NameHelper]]), TalentBooksImg[Name], 0)), "")</f>
        <v>#VALUE!</v>
      </c>
      <c r="H9" s="6">
        <f>SUMIF(TalentBook[Book],Talent_Books[[#This Row],[4* Book]],TalentBook[3* Book])</f>
        <v>129</v>
      </c>
      <c r="I9" s="2" t="e" vm="151">
        <f>IFERROR(INDEX(TalentBooksImg[Icon], MATCH(_xlfn.CONCAT("philosophiesof",Talent_Books[[#This Row],[NameHelper]]), TalentBooksImg[Name], 0)), "")</f>
        <v>#VALUE!</v>
      </c>
      <c r="J9" s="162">
        <f>SUMIF(TalentBook[Book],Talent_Books[[#This Row],[4* Book]],TalentBook[4* Book])</f>
        <v>144</v>
      </c>
      <c r="K9" s="161" t="e" vm="773">
        <f>IFERROR(INDEX(TalentBooksImg[Icon], MATCH(_xlfn.CONCAT("teachingsof",Talent_Books[[#This Row],[NameHelper]]), TalentBooksImg[Name], 0)), "")</f>
        <v>#VALUE!</v>
      </c>
      <c r="L9" s="2">
        <f>IFERROR(INDEX(TalentBooksInv[Quantity], MATCH(Talent_Books[[#This Row],[2* Book2]], TalentBooksInv[Icon], 0)), "")</f>
        <v>0</v>
      </c>
      <c r="M9" s="5" t="e" vm="774">
        <f>IFERROR(INDEX(TalentBooksImg[Icon], MATCH(_xlfn.CONCAT("guideto",Talent_Books[[#This Row],[NameHelper]]), TalentBooksImg[Name], 0)), "")</f>
        <v>#VALUE!</v>
      </c>
      <c r="N9" s="6">
        <f>IFERROR(INDEX(TalentBooksInv[Quantity], MATCH(Talent_Books[[#This Row],[3* Book2]], TalentBooksInv[Icon], 0)), "")</f>
        <v>0</v>
      </c>
      <c r="O9" s="2" t="e" vm="151">
        <f>IFERROR(INDEX(TalentBooksImg[Icon], MATCH(_xlfn.CONCAT("philosophiesof",Talent_Books[[#This Row],[NameHelper]]), TalentBooksImg[Name], 0)), "")</f>
        <v>#VALUE!</v>
      </c>
      <c r="P9" s="162">
        <f>IFERROR(INDEX(TalentBooksInv[Quantity], MATCH(Talent_Books[[#This Row],[4* Book2]], TalentBooksInv[Icon], 0)), "")</f>
        <v>0</v>
      </c>
      <c r="Q9" s="161" t="e" vm="773">
        <f>IFERROR(INDEX(TalentBooksImg[Icon], MATCH(_xlfn.CONCAT("teachingsof",Talent_Books[[#This Row],[NameHelper]]), TalentBooksImg[Name], 0)), "")</f>
        <v>#VALUE!</v>
      </c>
      <c r="R9" s="2">
        <f>Talent_Books[[#This Row],[2* Need]]-Talent_Books[[#This Row],[2* Need2]]</f>
        <v>75</v>
      </c>
      <c r="S9" s="5" t="e" vm="774">
        <f>IFERROR(INDEX(TalentBooksImg[Icon], MATCH(_xlfn.CONCAT("guideto",Talent_Books[[#This Row],[NameHelper]]), TalentBooksImg[Name], 0)), "")</f>
        <v>#VALUE!</v>
      </c>
      <c r="T9" s="6">
        <f>Talent_Books[[#This Row],[3* Need]]-Talent_Books[[#This Row],[3* Need2]]</f>
        <v>129</v>
      </c>
      <c r="U9" s="2" t="e" vm="151">
        <f>IFERROR(INDEX(TalentBooksImg[Icon], MATCH(_xlfn.CONCAT("philosophiesof",Talent_Books[[#This Row],[NameHelper]]), TalentBooksImg[Name], 0)), "")</f>
        <v>#VALUE!</v>
      </c>
      <c r="V9" s="162">
        <f>Talent_Books[[#This Row],[4* Need]]-Talent_Books[[#This Row],[4* Need2]]</f>
        <v>144</v>
      </c>
    </row>
    <row r="10" spans="1:22" ht="30" customHeight="1" x14ac:dyDescent="0.25">
      <c r="A10" s="161">
        <f>SUBTOTAL(3,$B$4:Talent_Books[[#This Row],[Book Region]])</f>
        <v>7</v>
      </c>
      <c r="B10" s="2" t="s">
        <v>786</v>
      </c>
      <c r="C10" s="157" t="s">
        <v>856</v>
      </c>
      <c r="D10" s="172">
        <v>2</v>
      </c>
      <c r="E10" s="161" t="e" vm="777">
        <f>IFERROR(INDEX(TalentBooksImg[Icon], MATCH(_xlfn.CONCAT("teachingsof",Talent_Books[[#This Row],[NameHelper]]), TalentBooksImg[Name], 0)), "")</f>
        <v>#VALUE!</v>
      </c>
      <c r="F10" s="2">
        <f>SUMIF(TalentBook[Book],Talent_Books[[#This Row],[4* Book]],TalentBook[2* Book])</f>
        <v>97</v>
      </c>
      <c r="G10" s="5" t="e" vm="779">
        <f>IFERROR(INDEX(TalentBooksImg[Icon], MATCH(_xlfn.CONCAT("guideto",Talent_Books[[#This Row],[NameHelper]]), TalentBooksImg[Name], 0)), "")</f>
        <v>#VALUE!</v>
      </c>
      <c r="H10" s="6">
        <f>SUMIF(TalentBook[Book],Talent_Books[[#This Row],[4* Book]],TalentBook[3* Book])</f>
        <v>151</v>
      </c>
      <c r="I10" s="2" t="e" vm="225">
        <f>IFERROR(INDEX(TalentBooksImg[Icon], MATCH(_xlfn.CONCAT("philosophiesof",Talent_Books[[#This Row],[NameHelper]]), TalentBooksImg[Name], 0)), "")</f>
        <v>#VALUE!</v>
      </c>
      <c r="J10" s="162">
        <f>SUMIF(TalentBook[Book],Talent_Books[[#This Row],[4* Book]],TalentBook[4* Book])</f>
        <v>154</v>
      </c>
      <c r="K10" s="161" t="e" vm="777">
        <f>IFERROR(INDEX(TalentBooksImg[Icon], MATCH(_xlfn.CONCAT("teachingsof",Talent_Books[[#This Row],[NameHelper]]), TalentBooksImg[Name], 0)), "")</f>
        <v>#VALUE!</v>
      </c>
      <c r="L10" s="2">
        <f>IFERROR(INDEX(TalentBooksInv[Quantity], MATCH(Talent_Books[[#This Row],[2* Book2]], TalentBooksInv[Icon], 0)), "")</f>
        <v>0</v>
      </c>
      <c r="M10" s="5" t="e" vm="779">
        <f>IFERROR(INDEX(TalentBooksImg[Icon], MATCH(_xlfn.CONCAT("guideto",Talent_Books[[#This Row],[NameHelper]]), TalentBooksImg[Name], 0)), "")</f>
        <v>#VALUE!</v>
      </c>
      <c r="N10" s="6">
        <f>IFERROR(INDEX(TalentBooksInv[Quantity], MATCH(Talent_Books[[#This Row],[3* Book2]], TalentBooksInv[Icon], 0)), "")</f>
        <v>0</v>
      </c>
      <c r="O10" s="2" t="e" vm="225">
        <f>IFERROR(INDEX(TalentBooksImg[Icon], MATCH(_xlfn.CONCAT("philosophiesof",Talent_Books[[#This Row],[NameHelper]]), TalentBooksImg[Name], 0)), "")</f>
        <v>#VALUE!</v>
      </c>
      <c r="P10" s="162">
        <f>IFERROR(INDEX(TalentBooksInv[Quantity], MATCH(Talent_Books[[#This Row],[4* Book2]], TalentBooksInv[Icon], 0)), "")</f>
        <v>0</v>
      </c>
      <c r="Q10" s="161" t="e" vm="777">
        <f>IFERROR(INDEX(TalentBooksImg[Icon], MATCH(_xlfn.CONCAT("teachingsof",Talent_Books[[#This Row],[NameHelper]]), TalentBooksImg[Name], 0)), "")</f>
        <v>#VALUE!</v>
      </c>
      <c r="R10" s="2">
        <f>Talent_Books[[#This Row],[2* Need]]-Talent_Books[[#This Row],[2* Need2]]</f>
        <v>97</v>
      </c>
      <c r="S10" s="5" t="e" vm="779">
        <f>IFERROR(INDEX(TalentBooksImg[Icon], MATCH(_xlfn.CONCAT("guideto",Talent_Books[[#This Row],[NameHelper]]), TalentBooksImg[Name], 0)), "")</f>
        <v>#VALUE!</v>
      </c>
      <c r="T10" s="6">
        <f>Talent_Books[[#This Row],[3* Need]]-Talent_Books[[#This Row],[3* Need2]]</f>
        <v>151</v>
      </c>
      <c r="U10" s="2" t="e" vm="225">
        <f>IFERROR(INDEX(TalentBooksImg[Icon], MATCH(_xlfn.CONCAT("philosophiesof",Talent_Books[[#This Row],[NameHelper]]), TalentBooksImg[Name], 0)), "")</f>
        <v>#VALUE!</v>
      </c>
      <c r="V10" s="162">
        <f>Talent_Books[[#This Row],[4* Need]]-Talent_Books[[#This Row],[4* Need2]]</f>
        <v>154</v>
      </c>
    </row>
    <row r="11" spans="1:22" ht="30" customHeight="1" x14ac:dyDescent="0.25">
      <c r="A11" s="161">
        <f>SUBTOTAL(3,$B$4:Talent_Books[[#This Row],[Book Region]])</f>
        <v>8</v>
      </c>
      <c r="B11" s="2" t="s">
        <v>786</v>
      </c>
      <c r="C11" s="157" t="s">
        <v>857</v>
      </c>
      <c r="D11" s="172">
        <v>2</v>
      </c>
      <c r="E11" s="161" t="e" vm="781">
        <f>IFERROR(INDEX(TalentBooksImg[Icon], MATCH(_xlfn.CONCAT("teachingsof",Talent_Books[[#This Row],[NameHelper]]), TalentBooksImg[Name], 0)), "")</f>
        <v>#VALUE!</v>
      </c>
      <c r="F11" s="2">
        <f>SUMIF(TalentBook[Book],Talent_Books[[#This Row],[4* Book]],TalentBook[2* Book])</f>
        <v>50</v>
      </c>
      <c r="G11" s="5" t="e" vm="783">
        <f>IFERROR(INDEX(TalentBooksImg[Icon], MATCH(_xlfn.CONCAT("guideto",Talent_Books[[#This Row],[NameHelper]]), TalentBooksImg[Name], 0)), "")</f>
        <v>#VALUE!</v>
      </c>
      <c r="H11" s="6">
        <f>SUMIF(TalentBook[Book],Talent_Books[[#This Row],[4* Book]],TalentBook[3* Book])</f>
        <v>86</v>
      </c>
      <c r="I11" s="2" t="e" vm="74">
        <f>IFERROR(INDEX(TalentBooksImg[Icon], MATCH(_xlfn.CONCAT("philosophiesof",Talent_Books[[#This Row],[NameHelper]]), TalentBooksImg[Name], 0)), "")</f>
        <v>#VALUE!</v>
      </c>
      <c r="J11" s="162">
        <f>SUMIF(TalentBook[Book],Talent_Books[[#This Row],[4* Book]],TalentBook[4* Book])</f>
        <v>88</v>
      </c>
      <c r="K11" s="161" t="e" vm="781">
        <f>IFERROR(INDEX(TalentBooksImg[Icon], MATCH(_xlfn.CONCAT("teachingsof",Talent_Books[[#This Row],[NameHelper]]), TalentBooksImg[Name], 0)), "")</f>
        <v>#VALUE!</v>
      </c>
      <c r="L11" s="2">
        <f>IFERROR(INDEX(TalentBooksInv[Quantity], MATCH(Talent_Books[[#This Row],[2* Book2]], TalentBooksInv[Icon], 0)), "")</f>
        <v>0</v>
      </c>
      <c r="M11" s="5" t="e" vm="783">
        <f>IFERROR(INDEX(TalentBooksImg[Icon], MATCH(_xlfn.CONCAT("guideto",Talent_Books[[#This Row],[NameHelper]]), TalentBooksImg[Name], 0)), "")</f>
        <v>#VALUE!</v>
      </c>
      <c r="N11" s="6">
        <f>IFERROR(INDEX(TalentBooksInv[Quantity], MATCH(Talent_Books[[#This Row],[3* Book2]], TalentBooksInv[Icon], 0)), "")</f>
        <v>0</v>
      </c>
      <c r="O11" s="2" t="e" vm="74">
        <f>IFERROR(INDEX(TalentBooksImg[Icon], MATCH(_xlfn.CONCAT("philosophiesof",Talent_Books[[#This Row],[NameHelper]]), TalentBooksImg[Name], 0)), "")</f>
        <v>#VALUE!</v>
      </c>
      <c r="P11" s="162">
        <f>IFERROR(INDEX(TalentBooksInv[Quantity], MATCH(Talent_Books[[#This Row],[4* Book2]], TalentBooksInv[Icon], 0)), "")</f>
        <v>0</v>
      </c>
      <c r="Q11" s="161" t="e" vm="781">
        <f>IFERROR(INDEX(TalentBooksImg[Icon], MATCH(_xlfn.CONCAT("teachingsof",Talent_Books[[#This Row],[NameHelper]]), TalentBooksImg[Name], 0)), "")</f>
        <v>#VALUE!</v>
      </c>
      <c r="R11" s="2">
        <f>Talent_Books[[#This Row],[2* Need]]-Talent_Books[[#This Row],[2* Need2]]</f>
        <v>50</v>
      </c>
      <c r="S11" s="5" t="e" vm="783">
        <f>IFERROR(INDEX(TalentBooksImg[Icon], MATCH(_xlfn.CONCAT("guideto",Talent_Books[[#This Row],[NameHelper]]), TalentBooksImg[Name], 0)), "")</f>
        <v>#VALUE!</v>
      </c>
      <c r="T11" s="6">
        <f>Talent_Books[[#This Row],[3* Need]]-Talent_Books[[#This Row],[3* Need2]]</f>
        <v>86</v>
      </c>
      <c r="U11" s="2" t="e" vm="74">
        <f>IFERROR(INDEX(TalentBooksImg[Icon], MATCH(_xlfn.CONCAT("philosophiesof",Talent_Books[[#This Row],[NameHelper]]), TalentBooksImg[Name], 0)), "")</f>
        <v>#VALUE!</v>
      </c>
      <c r="V11" s="162">
        <f>Talent_Books[[#This Row],[4* Need]]-Talent_Books[[#This Row],[4* Need2]]</f>
        <v>88</v>
      </c>
    </row>
    <row r="12" spans="1:22" ht="30" customHeight="1" x14ac:dyDescent="0.25">
      <c r="A12" s="161">
        <f>SUBTOTAL(3,$B$4:Talent_Books[[#This Row],[Book Region]])</f>
        <v>9</v>
      </c>
      <c r="B12" s="2" t="s">
        <v>786</v>
      </c>
      <c r="C12" s="157" t="s">
        <v>858</v>
      </c>
      <c r="D12" s="172">
        <v>2</v>
      </c>
      <c r="E12" s="161" t="e" vm="785">
        <f>IFERROR(INDEX(TalentBooksImg[Icon], MATCH(_xlfn.CONCAT("teachingsof",Talent_Books[[#This Row],[NameHelper]]), TalentBooksImg[Name], 0)), "")</f>
        <v>#VALUE!</v>
      </c>
      <c r="F12" s="2">
        <f>SUMIF(TalentBook[Book],Talent_Books[[#This Row],[4* Book]],TalentBook[2* Book])</f>
        <v>47</v>
      </c>
      <c r="G12" s="5" t="e" vm="787">
        <f>IFERROR(INDEX(TalentBooksImg[Icon], MATCH(_xlfn.CONCAT("guideto",Talent_Books[[#This Row],[NameHelper]]), TalentBooksImg[Name], 0)), "")</f>
        <v>#VALUE!</v>
      </c>
      <c r="H12" s="6">
        <f>SUMIF(TalentBook[Book],Talent_Books[[#This Row],[4* Book]],TalentBook[3* Book])</f>
        <v>65</v>
      </c>
      <c r="I12" s="2" t="e" vm="182">
        <f>IFERROR(INDEX(TalentBooksImg[Icon], MATCH(_xlfn.CONCAT("philosophiesof",Talent_Books[[#This Row],[NameHelper]]), TalentBooksImg[Name], 0)), "")</f>
        <v>#VALUE!</v>
      </c>
      <c r="J12" s="162">
        <f>SUMIF(TalentBook[Book],Talent_Books[[#This Row],[4* Book]],TalentBook[4* Book])</f>
        <v>66</v>
      </c>
      <c r="K12" s="161" t="e" vm="785">
        <f>IFERROR(INDEX(TalentBooksImg[Icon], MATCH(_xlfn.CONCAT("teachingsof",Talent_Books[[#This Row],[NameHelper]]), TalentBooksImg[Name], 0)), "")</f>
        <v>#VALUE!</v>
      </c>
      <c r="L12" s="2">
        <f>IFERROR(INDEX(TalentBooksInv[Quantity], MATCH(Talent_Books[[#This Row],[2* Book2]], TalentBooksInv[Icon], 0)), "")</f>
        <v>0</v>
      </c>
      <c r="M12" s="5" t="e" vm="787">
        <f>IFERROR(INDEX(TalentBooksImg[Icon], MATCH(_xlfn.CONCAT("guideto",Talent_Books[[#This Row],[NameHelper]]), TalentBooksImg[Name], 0)), "")</f>
        <v>#VALUE!</v>
      </c>
      <c r="N12" s="6">
        <f>IFERROR(INDEX(TalentBooksInv[Quantity], MATCH(Talent_Books[[#This Row],[3* Book2]], TalentBooksInv[Icon], 0)), "")</f>
        <v>0</v>
      </c>
      <c r="O12" s="2" t="e" vm="182">
        <f>IFERROR(INDEX(TalentBooksImg[Icon], MATCH(_xlfn.CONCAT("philosophiesof",Talent_Books[[#This Row],[NameHelper]]), TalentBooksImg[Name], 0)), "")</f>
        <v>#VALUE!</v>
      </c>
      <c r="P12" s="162">
        <f>IFERROR(INDEX(TalentBooksInv[Quantity], MATCH(Talent_Books[[#This Row],[4* Book2]], TalentBooksInv[Icon], 0)), "")</f>
        <v>0</v>
      </c>
      <c r="Q12" s="161" t="e" vm="785">
        <f>IFERROR(INDEX(TalentBooksImg[Icon], MATCH(_xlfn.CONCAT("teachingsof",Talent_Books[[#This Row],[NameHelper]]), TalentBooksImg[Name], 0)), "")</f>
        <v>#VALUE!</v>
      </c>
      <c r="R12" s="2">
        <f>Talent_Books[[#This Row],[2* Need]]-Talent_Books[[#This Row],[2* Need2]]</f>
        <v>47</v>
      </c>
      <c r="S12" s="5" t="e" vm="787">
        <f>IFERROR(INDEX(TalentBooksImg[Icon], MATCH(_xlfn.CONCAT("guideto",Talent_Books[[#This Row],[NameHelper]]), TalentBooksImg[Name], 0)), "")</f>
        <v>#VALUE!</v>
      </c>
      <c r="T12" s="6">
        <f>Talent_Books[[#This Row],[3* Need]]-Talent_Books[[#This Row],[3* Need2]]</f>
        <v>65</v>
      </c>
      <c r="U12" s="2" t="e" vm="182">
        <f>IFERROR(INDEX(TalentBooksImg[Icon], MATCH(_xlfn.CONCAT("philosophiesof",Talent_Books[[#This Row],[NameHelper]]), TalentBooksImg[Name], 0)), "")</f>
        <v>#VALUE!</v>
      </c>
      <c r="V12" s="162">
        <f>Talent_Books[[#This Row],[4* Need]]-Talent_Books[[#This Row],[4* Need2]]</f>
        <v>66</v>
      </c>
    </row>
    <row r="13" spans="1:22" ht="30" customHeight="1" x14ac:dyDescent="0.25">
      <c r="A13" s="161">
        <f>SUBTOTAL(3,$B$4:Talent_Books[[#This Row],[Book Region]])</f>
        <v>10</v>
      </c>
      <c r="B13" s="2" t="s">
        <v>787</v>
      </c>
      <c r="C13" s="157" t="s">
        <v>859</v>
      </c>
      <c r="D13" s="172">
        <v>3</v>
      </c>
      <c r="E13" s="161" t="e" vm="791">
        <f>IFERROR(INDEX(TalentBooksImg[Icon], MATCH(_xlfn.CONCAT("teachingsof",Talent_Books[[#This Row],[NameHelper]]), TalentBooksImg[Name], 0)), "")</f>
        <v>#VALUE!</v>
      </c>
      <c r="F13" s="2">
        <f>SUMIF(TalentBook[Book],Talent_Books[[#This Row],[4* Book]],TalentBook[2* Book])</f>
        <v>68</v>
      </c>
      <c r="G13" s="5" t="e" vm="793">
        <f>IFERROR(INDEX(TalentBooksImg[Icon], MATCH(_xlfn.CONCAT("guideto",Talent_Books[[#This Row],[NameHelper]]), TalentBooksImg[Name], 0)), "")</f>
        <v>#VALUE!</v>
      </c>
      <c r="H13" s="6">
        <f>SUMIF(TalentBook[Book],Talent_Books[[#This Row],[4* Book]],TalentBook[3* Book])</f>
        <v>104</v>
      </c>
      <c r="I13" s="2" t="e" vm="31">
        <f>IFERROR(INDEX(TalentBooksImg[Icon], MATCH(_xlfn.CONCAT("philosophiesof",Talent_Books[[#This Row],[NameHelper]]), TalentBooksImg[Name], 0)), "")</f>
        <v>#VALUE!</v>
      </c>
      <c r="J13" s="162">
        <f>SUMIF(TalentBook[Book],Talent_Books[[#This Row],[4* Book]],TalentBook[4* Book])</f>
        <v>106</v>
      </c>
      <c r="K13" s="161" t="e" vm="791">
        <f>IFERROR(INDEX(TalentBooksImg[Icon], MATCH(_xlfn.CONCAT("teachingsof",Talent_Books[[#This Row],[NameHelper]]), TalentBooksImg[Name], 0)), "")</f>
        <v>#VALUE!</v>
      </c>
      <c r="L13" s="2">
        <f>IFERROR(INDEX(TalentBooksInv[Quantity], MATCH(Talent_Books[[#This Row],[2* Book2]], TalentBooksInv[Icon], 0)), "")</f>
        <v>0</v>
      </c>
      <c r="M13" s="5" t="e" vm="793">
        <f>IFERROR(INDEX(TalentBooksImg[Icon], MATCH(_xlfn.CONCAT("guideto",Talent_Books[[#This Row],[NameHelper]]), TalentBooksImg[Name], 0)), "")</f>
        <v>#VALUE!</v>
      </c>
      <c r="N13" s="6">
        <f>IFERROR(INDEX(TalentBooksInv[Quantity], MATCH(Talent_Books[[#This Row],[3* Book2]], TalentBooksInv[Icon], 0)), "")</f>
        <v>0</v>
      </c>
      <c r="O13" s="2" t="e" vm="31">
        <f>IFERROR(INDEX(TalentBooksImg[Icon], MATCH(_xlfn.CONCAT("philosophiesof",Talent_Books[[#This Row],[NameHelper]]), TalentBooksImg[Name], 0)), "")</f>
        <v>#VALUE!</v>
      </c>
      <c r="P13" s="162">
        <f>IFERROR(INDEX(TalentBooksInv[Quantity], MATCH(Talent_Books[[#This Row],[4* Book2]], TalentBooksInv[Icon], 0)), "")</f>
        <v>0</v>
      </c>
      <c r="Q13" s="161" t="e" vm="791">
        <f>IFERROR(INDEX(TalentBooksImg[Icon], MATCH(_xlfn.CONCAT("teachingsof",Talent_Books[[#This Row],[NameHelper]]), TalentBooksImg[Name], 0)), "")</f>
        <v>#VALUE!</v>
      </c>
      <c r="R13" s="2">
        <f>Talent_Books[[#This Row],[2* Need]]-Talent_Books[[#This Row],[2* Need2]]</f>
        <v>68</v>
      </c>
      <c r="S13" s="5" t="e" vm="793">
        <f>IFERROR(INDEX(TalentBooksImg[Icon], MATCH(_xlfn.CONCAT("guideto",Talent_Books[[#This Row],[NameHelper]]), TalentBooksImg[Name], 0)), "")</f>
        <v>#VALUE!</v>
      </c>
      <c r="T13" s="6">
        <f>Talent_Books[[#This Row],[3* Need]]-Talent_Books[[#This Row],[3* Need2]]</f>
        <v>104</v>
      </c>
      <c r="U13" s="2" t="e" vm="31">
        <f>IFERROR(INDEX(TalentBooksImg[Icon], MATCH(_xlfn.CONCAT("philosophiesof",Talent_Books[[#This Row],[NameHelper]]), TalentBooksImg[Name], 0)), "")</f>
        <v>#VALUE!</v>
      </c>
      <c r="V13" s="162">
        <f>Talent_Books[[#This Row],[4* Need]]-Talent_Books[[#This Row],[4* Need2]]</f>
        <v>106</v>
      </c>
    </row>
    <row r="14" spans="1:22" ht="30" customHeight="1" x14ac:dyDescent="0.25">
      <c r="A14" s="161">
        <f>SUBTOTAL(3,$B$4:Talent_Books[[#This Row],[Book Region]])</f>
        <v>11</v>
      </c>
      <c r="B14" s="2" t="s">
        <v>787</v>
      </c>
      <c r="C14" s="157" t="s">
        <v>860</v>
      </c>
      <c r="D14" s="172">
        <v>3</v>
      </c>
      <c r="E14" s="161" t="e" vm="796">
        <f>IFERROR(INDEX(TalentBooksImg[Icon], MATCH(_xlfn.CONCAT("teachingsof",Talent_Books[[#This Row],[NameHelper]]), TalentBooksImg[Name], 0)), "")</f>
        <v>#VALUE!</v>
      </c>
      <c r="F14" s="2">
        <f>SUMIF(TalentBook[Book],Talent_Books[[#This Row],[4* Book]],TalentBook[2* Book])</f>
        <v>50</v>
      </c>
      <c r="G14" s="5" t="e" vm="798">
        <f>IFERROR(INDEX(TalentBooksImg[Icon], MATCH(_xlfn.CONCAT("guideto",Talent_Books[[#This Row],[NameHelper]]), TalentBooksImg[Name], 0)), "")</f>
        <v>#VALUE!</v>
      </c>
      <c r="H14" s="6">
        <f>SUMIF(TalentBook[Book],Talent_Books[[#This Row],[4* Book]],TalentBook[3* Book])</f>
        <v>86</v>
      </c>
      <c r="I14" s="2" t="e" vm="404">
        <f>IFERROR(INDEX(TalentBooksImg[Icon], MATCH(_xlfn.CONCAT("philosophiesof",Talent_Books[[#This Row],[NameHelper]]), TalentBooksImg[Name], 0)), "")</f>
        <v>#VALUE!</v>
      </c>
      <c r="J14" s="162">
        <f>SUMIF(TalentBook[Book],Talent_Books[[#This Row],[4* Book]],TalentBook[4* Book])</f>
        <v>88</v>
      </c>
      <c r="K14" s="161" t="e" vm="796">
        <f>IFERROR(INDEX(TalentBooksImg[Icon], MATCH(_xlfn.CONCAT("teachingsof",Talent_Books[[#This Row],[NameHelper]]), TalentBooksImg[Name], 0)), "")</f>
        <v>#VALUE!</v>
      </c>
      <c r="L14" s="2">
        <f>IFERROR(INDEX(TalentBooksInv[Quantity], MATCH(Talent_Books[[#This Row],[2* Book2]], TalentBooksInv[Icon], 0)), "")</f>
        <v>0</v>
      </c>
      <c r="M14" s="5" t="e" vm="798">
        <f>IFERROR(INDEX(TalentBooksImg[Icon], MATCH(_xlfn.CONCAT("guideto",Talent_Books[[#This Row],[NameHelper]]), TalentBooksImg[Name], 0)), "")</f>
        <v>#VALUE!</v>
      </c>
      <c r="N14" s="6">
        <f>IFERROR(INDEX(TalentBooksInv[Quantity], MATCH(Talent_Books[[#This Row],[3* Book2]], TalentBooksInv[Icon], 0)), "")</f>
        <v>0</v>
      </c>
      <c r="O14" s="2" t="e" vm="404">
        <f>IFERROR(INDEX(TalentBooksImg[Icon], MATCH(_xlfn.CONCAT("philosophiesof",Talent_Books[[#This Row],[NameHelper]]), TalentBooksImg[Name], 0)), "")</f>
        <v>#VALUE!</v>
      </c>
      <c r="P14" s="162">
        <f>IFERROR(INDEX(TalentBooksInv[Quantity], MATCH(Talent_Books[[#This Row],[4* Book2]], TalentBooksInv[Icon], 0)), "")</f>
        <v>0</v>
      </c>
      <c r="Q14" s="161" t="e" vm="796">
        <f>IFERROR(INDEX(TalentBooksImg[Icon], MATCH(_xlfn.CONCAT("teachingsof",Talent_Books[[#This Row],[NameHelper]]), TalentBooksImg[Name], 0)), "")</f>
        <v>#VALUE!</v>
      </c>
      <c r="R14" s="2">
        <f>Talent_Books[[#This Row],[2* Need]]-Talent_Books[[#This Row],[2* Need2]]</f>
        <v>50</v>
      </c>
      <c r="S14" s="5" t="e" vm="798">
        <f>IFERROR(INDEX(TalentBooksImg[Icon], MATCH(_xlfn.CONCAT("guideto",Talent_Books[[#This Row],[NameHelper]]), TalentBooksImg[Name], 0)), "")</f>
        <v>#VALUE!</v>
      </c>
      <c r="T14" s="6">
        <f>Talent_Books[[#This Row],[3* Need]]-Talent_Books[[#This Row],[3* Need2]]</f>
        <v>86</v>
      </c>
      <c r="U14" s="2" t="e" vm="404">
        <f>IFERROR(INDEX(TalentBooksImg[Icon], MATCH(_xlfn.CONCAT("philosophiesof",Talent_Books[[#This Row],[NameHelper]]), TalentBooksImg[Name], 0)), "")</f>
        <v>#VALUE!</v>
      </c>
      <c r="V14" s="162">
        <f>Talent_Books[[#This Row],[4* Need]]-Talent_Books[[#This Row],[4* Need2]]</f>
        <v>88</v>
      </c>
    </row>
    <row r="15" spans="1:22" ht="30" customHeight="1" x14ac:dyDescent="0.25">
      <c r="A15" s="161">
        <f>SUBTOTAL(3,$B$4:Talent_Books[[#This Row],[Book Region]])</f>
        <v>12</v>
      </c>
      <c r="B15" s="2" t="s">
        <v>787</v>
      </c>
      <c r="C15" s="157" t="s">
        <v>861</v>
      </c>
      <c r="D15" s="172">
        <v>3</v>
      </c>
      <c r="E15" s="161" t="e" vm="799">
        <f>IFERROR(INDEX(TalentBooksImg[Icon], MATCH(_xlfn.CONCAT("teachingsof",Talent_Books[[#This Row],[NameHelper]]), TalentBooksImg[Name], 0)), "")</f>
        <v>#VALUE!</v>
      </c>
      <c r="F15" s="2">
        <f>SUMIF(TalentBook[Book],Talent_Books[[#This Row],[4* Book]],TalentBook[2* Book])</f>
        <v>25</v>
      </c>
      <c r="G15" s="5" t="e" vm="800">
        <f>IFERROR(INDEX(TalentBooksImg[Icon], MATCH(_xlfn.CONCAT("guideto",Talent_Books[[#This Row],[NameHelper]]), TalentBooksImg[Name], 0)), "")</f>
        <v>#VALUE!</v>
      </c>
      <c r="H15" s="6">
        <f>SUMIF(TalentBook[Book],Talent_Books[[#This Row],[4* Book]],TalentBook[3* Book])</f>
        <v>43</v>
      </c>
      <c r="I15" s="2" t="e" vm="270">
        <f>IFERROR(INDEX(TalentBooksImg[Icon], MATCH(_xlfn.CONCAT("philosophiesof",Talent_Books[[#This Row],[NameHelper]]), TalentBooksImg[Name], 0)), "")</f>
        <v>#VALUE!</v>
      </c>
      <c r="J15" s="162">
        <f>SUMIF(TalentBook[Book],Talent_Books[[#This Row],[4* Book]],TalentBook[4* Book])</f>
        <v>44</v>
      </c>
      <c r="K15" s="161" t="e" vm="799">
        <f>IFERROR(INDEX(TalentBooksImg[Icon], MATCH(_xlfn.CONCAT("teachingsof",Talent_Books[[#This Row],[NameHelper]]), TalentBooksImg[Name], 0)), "")</f>
        <v>#VALUE!</v>
      </c>
      <c r="L15" s="2">
        <f>IFERROR(INDEX(TalentBooksInv[Quantity], MATCH(Talent_Books[[#This Row],[2* Book2]], TalentBooksInv[Icon], 0)), "")</f>
        <v>0</v>
      </c>
      <c r="M15" s="5" t="e" vm="800">
        <f>IFERROR(INDEX(TalentBooksImg[Icon], MATCH(_xlfn.CONCAT("guideto",Talent_Books[[#This Row],[NameHelper]]), TalentBooksImg[Name], 0)), "")</f>
        <v>#VALUE!</v>
      </c>
      <c r="N15" s="6">
        <f>IFERROR(INDEX(TalentBooksInv[Quantity], MATCH(Talent_Books[[#This Row],[3* Book2]], TalentBooksInv[Icon], 0)), "")</f>
        <v>0</v>
      </c>
      <c r="O15" s="2" t="e" vm="270">
        <f>IFERROR(INDEX(TalentBooksImg[Icon], MATCH(_xlfn.CONCAT("philosophiesof",Talent_Books[[#This Row],[NameHelper]]), TalentBooksImg[Name], 0)), "")</f>
        <v>#VALUE!</v>
      </c>
      <c r="P15" s="162">
        <f>IFERROR(INDEX(TalentBooksInv[Quantity], MATCH(Talent_Books[[#This Row],[4* Book2]], TalentBooksInv[Icon], 0)), "")</f>
        <v>0</v>
      </c>
      <c r="Q15" s="161" t="e" vm="799">
        <f>IFERROR(INDEX(TalentBooksImg[Icon], MATCH(_xlfn.CONCAT("teachingsof",Talent_Books[[#This Row],[NameHelper]]), TalentBooksImg[Name], 0)), "")</f>
        <v>#VALUE!</v>
      </c>
      <c r="R15" s="2">
        <f>Talent_Books[[#This Row],[2* Need]]-Talent_Books[[#This Row],[2* Need2]]</f>
        <v>25</v>
      </c>
      <c r="S15" s="5" t="e" vm="800">
        <f>IFERROR(INDEX(TalentBooksImg[Icon], MATCH(_xlfn.CONCAT("guideto",Talent_Books[[#This Row],[NameHelper]]), TalentBooksImg[Name], 0)), "")</f>
        <v>#VALUE!</v>
      </c>
      <c r="T15" s="6">
        <f>Talent_Books[[#This Row],[3* Need]]-Talent_Books[[#This Row],[3* Need2]]</f>
        <v>43</v>
      </c>
      <c r="U15" s="2" t="e" vm="270">
        <f>IFERROR(INDEX(TalentBooksImg[Icon], MATCH(_xlfn.CONCAT("philosophiesof",Talent_Books[[#This Row],[NameHelper]]), TalentBooksImg[Name], 0)), "")</f>
        <v>#VALUE!</v>
      </c>
      <c r="V15" s="162">
        <f>Talent_Books[[#This Row],[4* Need]]-Talent_Books[[#This Row],[4* Need2]]</f>
        <v>44</v>
      </c>
    </row>
    <row r="16" spans="1:22" ht="30" customHeight="1" x14ac:dyDescent="0.25">
      <c r="A16" s="161">
        <f>SUBTOTAL(3,$B$4:Talent_Books[[#This Row],[Book Region]])</f>
        <v>13</v>
      </c>
      <c r="B16" s="2" t="s">
        <v>788</v>
      </c>
      <c r="C16" s="157" t="s">
        <v>862</v>
      </c>
      <c r="D16" s="172">
        <v>4</v>
      </c>
      <c r="E16" s="161" t="e" vm="801">
        <f>IFERROR(INDEX(TalentBooksImg[Icon], MATCH(_xlfn.CONCAT("teachingsof",Talent_Books[[#This Row],[NameHelper]]), TalentBooksImg[Name], 0)), "")</f>
        <v>#VALUE!</v>
      </c>
      <c r="F16" s="2">
        <f>SUMIF(TalentBook[Book],Talent_Books[[#This Row],[4* Book]],TalentBook[2* Book])</f>
        <v>47</v>
      </c>
      <c r="G16" s="5" t="e" vm="802">
        <f>IFERROR(INDEX(TalentBooksImg[Icon], MATCH(_xlfn.CONCAT("guideto",Talent_Books[[#This Row],[NameHelper]]), TalentBooksImg[Name], 0)), "")</f>
        <v>#VALUE!</v>
      </c>
      <c r="H16" s="6">
        <f>SUMIF(TalentBook[Book],Talent_Books[[#This Row],[4* Book]],TalentBook[3* Book])</f>
        <v>65</v>
      </c>
      <c r="I16" s="2" t="e" vm="94">
        <f>IFERROR(INDEX(TalentBooksImg[Icon], MATCH(_xlfn.CONCAT("philosophiesof",Talent_Books[[#This Row],[NameHelper]]), TalentBooksImg[Name], 0)), "")</f>
        <v>#VALUE!</v>
      </c>
      <c r="J16" s="162">
        <f>SUMIF(TalentBook[Book],Talent_Books[[#This Row],[4* Book]],TalentBook[4* Book])</f>
        <v>88</v>
      </c>
      <c r="K16" s="161" t="e" vm="801">
        <f>IFERROR(INDEX(TalentBooksImg[Icon], MATCH(_xlfn.CONCAT("teachingsof",Talent_Books[[#This Row],[NameHelper]]), TalentBooksImg[Name], 0)), "")</f>
        <v>#VALUE!</v>
      </c>
      <c r="L16" s="2">
        <f>IFERROR(INDEX(TalentBooksInv[Quantity], MATCH(Talent_Books[[#This Row],[2* Book2]], TalentBooksInv[Icon], 0)), "")</f>
        <v>0</v>
      </c>
      <c r="M16" s="5" t="e" vm="802">
        <f>IFERROR(INDEX(TalentBooksImg[Icon], MATCH(_xlfn.CONCAT("guideto",Talent_Books[[#This Row],[NameHelper]]), TalentBooksImg[Name], 0)), "")</f>
        <v>#VALUE!</v>
      </c>
      <c r="N16" s="6">
        <f>IFERROR(INDEX(TalentBooksInv[Quantity], MATCH(Talent_Books[[#This Row],[3* Book2]], TalentBooksInv[Icon], 0)), "")</f>
        <v>0</v>
      </c>
      <c r="O16" s="2" t="e" vm="94">
        <f>IFERROR(INDEX(TalentBooksImg[Icon], MATCH(_xlfn.CONCAT("philosophiesof",Talent_Books[[#This Row],[NameHelper]]), TalentBooksImg[Name], 0)), "")</f>
        <v>#VALUE!</v>
      </c>
      <c r="P16" s="162">
        <f>IFERROR(INDEX(TalentBooksInv[Quantity], MATCH(Talent_Books[[#This Row],[4* Book2]], TalentBooksInv[Icon], 0)), "")</f>
        <v>0</v>
      </c>
      <c r="Q16" s="161" t="e" vm="801">
        <f>IFERROR(INDEX(TalentBooksImg[Icon], MATCH(_xlfn.CONCAT("teachingsof",Talent_Books[[#This Row],[NameHelper]]), TalentBooksImg[Name], 0)), "")</f>
        <v>#VALUE!</v>
      </c>
      <c r="R16" s="2">
        <f>Talent_Books[[#This Row],[2* Need]]-Talent_Books[[#This Row],[2* Need2]]</f>
        <v>47</v>
      </c>
      <c r="S16" s="5" t="e" vm="802">
        <f>IFERROR(INDEX(TalentBooksImg[Icon], MATCH(_xlfn.CONCAT("guideto",Talent_Books[[#This Row],[NameHelper]]), TalentBooksImg[Name], 0)), "")</f>
        <v>#VALUE!</v>
      </c>
      <c r="T16" s="6">
        <f>Talent_Books[[#This Row],[3* Need]]-Talent_Books[[#This Row],[3* Need2]]</f>
        <v>65</v>
      </c>
      <c r="U16" s="2" t="e" vm="94">
        <f>IFERROR(INDEX(TalentBooksImg[Icon], MATCH(_xlfn.CONCAT("philosophiesof",Talent_Books[[#This Row],[NameHelper]]), TalentBooksImg[Name], 0)), "")</f>
        <v>#VALUE!</v>
      </c>
      <c r="V16" s="162">
        <f>Talent_Books[[#This Row],[4* Need]]-Talent_Books[[#This Row],[4* Need2]]</f>
        <v>88</v>
      </c>
    </row>
    <row r="17" spans="1:27" ht="30" customHeight="1" x14ac:dyDescent="0.25">
      <c r="A17" s="161">
        <f>SUBTOTAL(3,$B$4:Talent_Books[[#This Row],[Book Region]])</f>
        <v>14</v>
      </c>
      <c r="B17" s="2" t="s">
        <v>788</v>
      </c>
      <c r="C17" s="157" t="s">
        <v>863</v>
      </c>
      <c r="D17" s="172">
        <v>4</v>
      </c>
      <c r="E17" s="161" t="e" vm="803">
        <f>IFERROR(INDEX(TalentBooksImg[Icon], MATCH(_xlfn.CONCAT("teachingsof",Talent_Books[[#This Row],[NameHelper]]), TalentBooksImg[Name], 0)), "")</f>
        <v>#VALUE!</v>
      </c>
      <c r="F17" s="2">
        <f>SUMIF(TalentBook[Book],Talent_Books[[#This Row],[4* Book]],TalentBook[2* Book])</f>
        <v>37</v>
      </c>
      <c r="G17" s="5" t="e" vm="804">
        <f>IFERROR(INDEX(TalentBooksImg[Icon], MATCH(_xlfn.CONCAT("guideto",Talent_Books[[#This Row],[NameHelper]]), TalentBooksImg[Name], 0)), "")</f>
        <v>#VALUE!</v>
      </c>
      <c r="H17" s="6">
        <f>SUMIF(TalentBook[Book],Talent_Books[[#This Row],[4* Book]],TalentBook[3* Book])</f>
        <v>55</v>
      </c>
      <c r="I17" s="2" t="e" vm="259">
        <f>IFERROR(INDEX(TalentBooksImg[Icon], MATCH(_xlfn.CONCAT("philosophiesof",Talent_Books[[#This Row],[NameHelper]]), TalentBooksImg[Name], 0)), "")</f>
        <v>#VALUE!</v>
      </c>
      <c r="J17" s="162">
        <f>SUMIF(TalentBook[Book],Talent_Books[[#This Row],[4* Book]],TalentBook[4* Book])</f>
        <v>56</v>
      </c>
      <c r="K17" s="161" t="e" vm="803">
        <f>IFERROR(INDEX(TalentBooksImg[Icon], MATCH(_xlfn.CONCAT("teachingsof",Talent_Books[[#This Row],[NameHelper]]), TalentBooksImg[Name], 0)), "")</f>
        <v>#VALUE!</v>
      </c>
      <c r="L17" s="2">
        <f>IFERROR(INDEX(TalentBooksInv[Quantity], MATCH(Talent_Books[[#This Row],[2* Book2]], TalentBooksInv[Icon], 0)), "")</f>
        <v>0</v>
      </c>
      <c r="M17" s="5" t="e" vm="804">
        <f>IFERROR(INDEX(TalentBooksImg[Icon], MATCH(_xlfn.CONCAT("guideto",Talent_Books[[#This Row],[NameHelper]]), TalentBooksImg[Name], 0)), "")</f>
        <v>#VALUE!</v>
      </c>
      <c r="N17" s="6">
        <f>IFERROR(INDEX(TalentBooksInv[Quantity], MATCH(Talent_Books[[#This Row],[3* Book2]], TalentBooksInv[Icon], 0)), "")</f>
        <v>0</v>
      </c>
      <c r="O17" s="2" t="e" vm="259">
        <f>IFERROR(INDEX(TalentBooksImg[Icon], MATCH(_xlfn.CONCAT("philosophiesof",Talent_Books[[#This Row],[NameHelper]]), TalentBooksImg[Name], 0)), "")</f>
        <v>#VALUE!</v>
      </c>
      <c r="P17" s="162">
        <f>IFERROR(INDEX(TalentBooksInv[Quantity], MATCH(Talent_Books[[#This Row],[4* Book2]], TalentBooksInv[Icon], 0)), "")</f>
        <v>0</v>
      </c>
      <c r="Q17" s="161" t="e" vm="803">
        <f>IFERROR(INDEX(TalentBooksImg[Icon], MATCH(_xlfn.CONCAT("teachingsof",Talent_Books[[#This Row],[NameHelper]]), TalentBooksImg[Name], 0)), "")</f>
        <v>#VALUE!</v>
      </c>
      <c r="R17" s="2">
        <f>Talent_Books[[#This Row],[2* Need]]-Talent_Books[[#This Row],[2* Need2]]</f>
        <v>37</v>
      </c>
      <c r="S17" s="5" t="e" vm="804">
        <f>IFERROR(INDEX(TalentBooksImg[Icon], MATCH(_xlfn.CONCAT("guideto",Talent_Books[[#This Row],[NameHelper]]), TalentBooksImg[Name], 0)), "")</f>
        <v>#VALUE!</v>
      </c>
      <c r="T17" s="6">
        <f>Talent_Books[[#This Row],[3* Need]]-Talent_Books[[#This Row],[3* Need2]]</f>
        <v>55</v>
      </c>
      <c r="U17" s="2" t="e" vm="259">
        <f>IFERROR(INDEX(TalentBooksImg[Icon], MATCH(_xlfn.CONCAT("philosophiesof",Talent_Books[[#This Row],[NameHelper]]), TalentBooksImg[Name], 0)), "")</f>
        <v>#VALUE!</v>
      </c>
      <c r="V17" s="162">
        <f>Talent_Books[[#This Row],[4* Need]]-Talent_Books[[#This Row],[4* Need2]]</f>
        <v>56</v>
      </c>
    </row>
    <row r="18" spans="1:27" ht="30" customHeight="1" thickBot="1" x14ac:dyDescent="0.3">
      <c r="A18" s="163">
        <f>SUBTOTAL(3,$B$4:Talent_Books[[#This Row],[Book Region]])</f>
        <v>15</v>
      </c>
      <c r="B18" s="164" t="s">
        <v>788</v>
      </c>
      <c r="C18" s="173" t="s">
        <v>864</v>
      </c>
      <c r="D18" s="174">
        <v>4</v>
      </c>
      <c r="E18" s="161" t="e" vm="805">
        <f>IFERROR(INDEX(TalentBooksImg[Icon], MATCH(_xlfn.CONCAT("teachingsof",Talent_Books[[#This Row],[NameHelper]]), TalentBooksImg[Name], 0)), "")</f>
        <v>#VALUE!</v>
      </c>
      <c r="F18" s="2">
        <f>SUMIF(TalentBook[Book],Talent_Books[[#This Row],[4* Book]],TalentBook[2* Book])</f>
        <v>0</v>
      </c>
      <c r="G18" s="5" t="e" vm="806">
        <f>IFERROR(INDEX(TalentBooksImg[Icon], MATCH(_xlfn.CONCAT("guideto",Talent_Books[[#This Row],[NameHelper]]), TalentBooksImg[Name], 0)), "")</f>
        <v>#VALUE!</v>
      </c>
      <c r="H18" s="6">
        <f>SUMIF(TalentBook[Book],Talent_Books[[#This Row],[4* Book]],TalentBook[3* Book])</f>
        <v>0</v>
      </c>
      <c r="I18" s="2" t="e" vm="441">
        <f>IFERROR(INDEX(TalentBooksImg[Icon], MATCH(_xlfn.CONCAT("philosophiesof",Talent_Books[[#This Row],[NameHelper]]), TalentBooksImg[Name], 0)), "")</f>
        <v>#VALUE!</v>
      </c>
      <c r="J18" s="162">
        <f>SUMIF(TalentBook[Book],Talent_Books[[#This Row],[4* Book]],TalentBook[4* Book])</f>
        <v>0</v>
      </c>
      <c r="K18" s="161" t="e" vm="805">
        <f>IFERROR(INDEX(TalentBooksImg[Icon], MATCH(_xlfn.CONCAT("teachingsof",Talent_Books[[#This Row],[NameHelper]]), TalentBooksImg[Name], 0)), "")</f>
        <v>#VALUE!</v>
      </c>
      <c r="L18" s="2">
        <f>IFERROR(INDEX(TalentBooksInv[Quantity], MATCH(Talent_Books[[#This Row],[2* Book2]], TalentBooksInv[Icon], 0)), "")</f>
        <v>0</v>
      </c>
      <c r="M18" s="5" t="e" vm="806">
        <f>IFERROR(INDEX(TalentBooksImg[Icon], MATCH(_xlfn.CONCAT("guideto",Talent_Books[[#This Row],[NameHelper]]), TalentBooksImg[Name], 0)), "")</f>
        <v>#VALUE!</v>
      </c>
      <c r="N18" s="6">
        <f>IFERROR(INDEX(TalentBooksInv[Quantity], MATCH(Talent_Books[[#This Row],[3* Book2]], TalentBooksInv[Icon], 0)), "")</f>
        <v>0</v>
      </c>
      <c r="O18" s="2" t="e" vm="441">
        <f>IFERROR(INDEX(TalentBooksImg[Icon], MATCH(_xlfn.CONCAT("philosophiesof",Talent_Books[[#This Row],[NameHelper]]), TalentBooksImg[Name], 0)), "")</f>
        <v>#VALUE!</v>
      </c>
      <c r="P18" s="162">
        <f>IFERROR(INDEX(TalentBooksInv[Quantity], MATCH(Talent_Books[[#This Row],[4* Book2]], TalentBooksInv[Icon], 0)), "")</f>
        <v>0</v>
      </c>
      <c r="Q18" s="161" t="e" vm="805">
        <f>IFERROR(INDEX(TalentBooksImg[Icon], MATCH(_xlfn.CONCAT("teachingsof",Talent_Books[[#This Row],[NameHelper]]), TalentBooksImg[Name], 0)), "")</f>
        <v>#VALUE!</v>
      </c>
      <c r="R18" s="2">
        <f>Talent_Books[[#This Row],[2* Need]]-Talent_Books[[#This Row],[2* Need2]]</f>
        <v>0</v>
      </c>
      <c r="S18" s="5" t="e" vm="806">
        <f>IFERROR(INDEX(TalentBooksImg[Icon], MATCH(_xlfn.CONCAT("guideto",Talent_Books[[#This Row],[NameHelper]]), TalentBooksImg[Name], 0)), "")</f>
        <v>#VALUE!</v>
      </c>
      <c r="T18" s="6">
        <f>Talent_Books[[#This Row],[3* Need]]-Talent_Books[[#This Row],[3* Need2]]</f>
        <v>0</v>
      </c>
      <c r="U18" s="2" t="e" vm="441">
        <f>IFERROR(INDEX(TalentBooksImg[Icon], MATCH(_xlfn.CONCAT("philosophiesof",Talent_Books[[#This Row],[NameHelper]]), TalentBooksImg[Name], 0)), "")</f>
        <v>#VALUE!</v>
      </c>
      <c r="V18" s="162">
        <f>Talent_Books[[#This Row],[4* Need]]-Talent_Books[[#This Row],[4* Need2]]</f>
        <v>0</v>
      </c>
    </row>
    <row r="19" spans="1:27" ht="15.75" thickBot="1" x14ac:dyDescent="0.3">
      <c r="A19" s="175"/>
      <c r="B19" s="176"/>
      <c r="C19" s="176"/>
      <c r="D19" s="176" t="s">
        <v>758</v>
      </c>
      <c r="E19" s="175"/>
      <c r="F19" s="176">
        <f>SUBTOTAL(109,Talent_Books[2* Need])</f>
        <v>977</v>
      </c>
      <c r="G19" s="178"/>
      <c r="H19" s="179">
        <f>SUBTOTAL(109,Talent_Books[3* Need])</f>
        <v>1571</v>
      </c>
      <c r="I19" s="176"/>
      <c r="J19" s="177">
        <f>SUBTOTAL(109,Talent_Books[4* Need])</f>
        <v>1770</v>
      </c>
      <c r="K19" s="175"/>
      <c r="L19" s="176">
        <f>SUBTOTAL(109,Talent_Books[2* Need2])</f>
        <v>0</v>
      </c>
      <c r="M19" s="178"/>
      <c r="N19" s="179">
        <f>SUBTOTAL(109,Talent_Books[3* Need2])</f>
        <v>0</v>
      </c>
      <c r="O19" s="176"/>
      <c r="P19" s="177">
        <f>SUBTOTAL(109,Talent_Books[4* Need2])</f>
        <v>0</v>
      </c>
      <c r="Q19" s="175"/>
      <c r="R19" s="176">
        <f>SUBTOTAL(109,Talent_Books[2* Need3])</f>
        <v>977</v>
      </c>
      <c r="S19" s="178"/>
      <c r="T19" s="179">
        <f>SUBTOTAL(109,Talent_Books[3* Need3])</f>
        <v>1571</v>
      </c>
      <c r="U19" s="176"/>
      <c r="V19" s="177">
        <f>SUBTOTAL(109,Talent_Books[4* Need3])</f>
        <v>1770</v>
      </c>
    </row>
    <row r="20" spans="1:27" x14ac:dyDescent="0.25">
      <c r="A20" s="7"/>
      <c r="B20" s="17"/>
      <c r="C20" s="17"/>
      <c r="D20" s="17"/>
      <c r="E20" s="17" t="s">
        <v>763</v>
      </c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40"/>
      <c r="X20" s="200" t="s">
        <v>789</v>
      </c>
      <c r="Y20" s="201"/>
      <c r="Z20" s="201"/>
      <c r="AA20" s="202"/>
    </row>
    <row r="21" spans="1:27" x14ac:dyDescent="0.25">
      <c r="A21" s="5"/>
      <c r="E21" s="5" t="s">
        <v>764</v>
      </c>
      <c r="F21" s="2" t="s">
        <v>790</v>
      </c>
      <c r="J21" s="203" t="s">
        <v>791</v>
      </c>
      <c r="K21" s="203" t="s">
        <v>792</v>
      </c>
      <c r="L21" s="20"/>
      <c r="M21" s="20"/>
      <c r="N21" s="20"/>
      <c r="O21" s="203" t="s">
        <v>793</v>
      </c>
      <c r="P21" s="149"/>
      <c r="X21" s="147"/>
      <c r="Y21" s="148" t="s">
        <v>781</v>
      </c>
      <c r="Z21" s="148" t="s">
        <v>782</v>
      </c>
      <c r="AA21" s="148" t="s">
        <v>783</v>
      </c>
    </row>
    <row r="22" spans="1:27" x14ac:dyDescent="0.25">
      <c r="A22" s="5"/>
      <c r="E22" s="5" t="s">
        <v>766</v>
      </c>
      <c r="F22" s="2">
        <v>180</v>
      </c>
      <c r="J22" s="204"/>
      <c r="K22" s="204"/>
      <c r="L22" s="13"/>
      <c r="M22" s="13"/>
      <c r="N22" s="13"/>
      <c r="O22" s="204"/>
      <c r="P22" s="149" t="s">
        <v>767</v>
      </c>
      <c r="X22" s="150" t="s">
        <v>794</v>
      </c>
      <c r="Y22" s="151">
        <v>0</v>
      </c>
      <c r="Z22" s="151">
        <v>3</v>
      </c>
      <c r="AA22" s="151">
        <v>2</v>
      </c>
    </row>
    <row r="23" spans="1:27" x14ac:dyDescent="0.25">
      <c r="A23" s="5"/>
      <c r="E23" s="5" t="s">
        <v>795</v>
      </c>
      <c r="F23" s="2">
        <v>20</v>
      </c>
      <c r="J23" s="204"/>
      <c r="K23" s="204"/>
      <c r="L23" s="13"/>
      <c r="M23" s="13"/>
      <c r="N23" s="13"/>
      <c r="O23" s="204"/>
      <c r="P23" s="149" t="s">
        <v>767</v>
      </c>
      <c r="X23" s="152" t="s">
        <v>796</v>
      </c>
      <c r="Y23" s="151">
        <v>0</v>
      </c>
      <c r="Z23" s="151">
        <v>2</v>
      </c>
      <c r="AA23" s="151">
        <v>2</v>
      </c>
    </row>
    <row r="24" spans="1:27" x14ac:dyDescent="0.25">
      <c r="A24" s="5"/>
      <c r="E24" s="5" t="s">
        <v>797</v>
      </c>
      <c r="F24" s="136">
        <f>F22/F23</f>
        <v>9</v>
      </c>
      <c r="G24" s="136"/>
      <c r="H24" s="136"/>
      <c r="I24" s="136"/>
      <c r="J24" s="204"/>
      <c r="K24" s="204"/>
      <c r="L24" s="13"/>
      <c r="M24" s="13"/>
      <c r="N24" s="13"/>
      <c r="O24" s="204"/>
      <c r="P24" s="149" t="s">
        <v>770</v>
      </c>
      <c r="X24" s="152" t="s">
        <v>798</v>
      </c>
      <c r="Y24" s="151">
        <v>0</v>
      </c>
      <c r="Z24" s="151">
        <v>2</v>
      </c>
      <c r="AA24" s="151">
        <v>2</v>
      </c>
    </row>
    <row r="25" spans="1:27" x14ac:dyDescent="0.25">
      <c r="A25" s="5"/>
      <c r="E25" s="5" t="s">
        <v>799</v>
      </c>
      <c r="F25" s="136"/>
      <c r="G25" s="136"/>
      <c r="H25" s="136"/>
      <c r="I25" s="136"/>
      <c r="J25" s="136">
        <f>AVERAGE(Y22:Y30)</f>
        <v>0.44444444444444442</v>
      </c>
      <c r="K25" s="136">
        <f>AVERAGE(Z22:Z30)</f>
        <v>1.7777777777777777</v>
      </c>
      <c r="L25" s="136"/>
      <c r="M25" s="136"/>
      <c r="N25" s="136"/>
      <c r="O25" s="136">
        <f>AVERAGE(AA22:AA30)</f>
        <v>2.1111111111111112</v>
      </c>
      <c r="P25" s="149" t="s">
        <v>772</v>
      </c>
      <c r="X25" s="152" t="s">
        <v>800</v>
      </c>
      <c r="Y25" s="151">
        <v>0</v>
      </c>
      <c r="Z25" s="151">
        <v>2</v>
      </c>
      <c r="AA25" s="151">
        <v>2</v>
      </c>
    </row>
    <row r="26" spans="1:27" x14ac:dyDescent="0.25">
      <c r="A26" s="5"/>
      <c r="E26" s="5" t="s">
        <v>773</v>
      </c>
      <c r="F26" s="136"/>
      <c r="G26" s="136"/>
      <c r="H26" s="136"/>
      <c r="I26" s="136"/>
      <c r="J26" s="2">
        <f>$F$24*J25</f>
        <v>4</v>
      </c>
      <c r="K26" s="2">
        <f>$F$24*K25</f>
        <v>16</v>
      </c>
      <c r="O26" s="2">
        <f>$F$24*O25</f>
        <v>19</v>
      </c>
      <c r="P26" s="149" t="s">
        <v>772</v>
      </c>
      <c r="X26" s="152" t="s">
        <v>801</v>
      </c>
      <c r="Y26" s="151">
        <v>0</v>
      </c>
      <c r="Z26" s="151">
        <v>2</v>
      </c>
      <c r="AA26" s="151">
        <v>3</v>
      </c>
    </row>
    <row r="27" spans="1:27" x14ac:dyDescent="0.25">
      <c r="A27" s="5"/>
      <c r="B27" s="4"/>
      <c r="C27" s="4"/>
      <c r="D27" s="4"/>
      <c r="E27" s="143" t="s">
        <v>774</v>
      </c>
      <c r="F27" s="137"/>
      <c r="G27" s="137"/>
      <c r="H27" s="137"/>
      <c r="I27" s="137"/>
      <c r="J27" s="137">
        <f>Talent_Books[[#Totals],[2* Book3]]/J26</f>
        <v>0</v>
      </c>
      <c r="K27" s="137">
        <f>Talent_Books[[#Totals],[4* Book3]]/K26</f>
        <v>0</v>
      </c>
      <c r="L27" s="137"/>
      <c r="M27" s="137"/>
      <c r="N27" s="137"/>
      <c r="O27" s="137">
        <f>Talent_Books[[#Totals],[4* Need3]]/O26</f>
        <v>93.15789473684211</v>
      </c>
      <c r="P27" s="149" t="s">
        <v>775</v>
      </c>
      <c r="X27" s="152" t="s">
        <v>802</v>
      </c>
      <c r="Y27" s="151">
        <v>1</v>
      </c>
      <c r="Z27" s="151">
        <v>1</v>
      </c>
      <c r="AA27" s="151">
        <v>2</v>
      </c>
    </row>
    <row r="28" spans="1:27" x14ac:dyDescent="0.25">
      <c r="A28" s="5"/>
      <c r="B28" s="4"/>
      <c r="C28" s="4"/>
      <c r="D28" s="4"/>
      <c r="E28" s="143" t="s">
        <v>803</v>
      </c>
      <c r="F28" s="137"/>
      <c r="G28" s="137"/>
      <c r="H28" s="137"/>
      <c r="I28" s="137"/>
      <c r="J28" s="137">
        <f>AVERAGE(J27:O27)</f>
        <v>31.05263157894737</v>
      </c>
      <c r="K28" s="4"/>
      <c r="L28" s="4"/>
      <c r="M28" s="4"/>
      <c r="N28" s="4"/>
      <c r="O28" s="4"/>
      <c r="P28" s="149" t="s">
        <v>775</v>
      </c>
      <c r="X28" s="152" t="s">
        <v>804</v>
      </c>
      <c r="Y28" s="151">
        <v>1</v>
      </c>
      <c r="Z28" s="151">
        <v>1</v>
      </c>
      <c r="AA28" s="151">
        <v>2</v>
      </c>
    </row>
    <row r="29" spans="1:27" x14ac:dyDescent="0.25">
      <c r="A29" s="7"/>
      <c r="B29" s="8"/>
      <c r="C29" s="17" t="s">
        <v>776</v>
      </c>
      <c r="D29" s="17"/>
      <c r="E29" s="17"/>
      <c r="F29" s="17"/>
      <c r="G29" s="17"/>
      <c r="H29" s="17"/>
      <c r="I29" s="17"/>
      <c r="J29" s="139">
        <f>F22*J28</f>
        <v>5589.4736842105267</v>
      </c>
      <c r="K29" s="8" t="s">
        <v>767</v>
      </c>
      <c r="L29" s="8"/>
      <c r="M29" s="8"/>
      <c r="N29" s="8"/>
      <c r="O29" s="153"/>
      <c r="P29" s="154"/>
      <c r="X29" s="152" t="s">
        <v>805</v>
      </c>
      <c r="Y29" s="151">
        <v>1</v>
      </c>
      <c r="Z29" s="151">
        <v>2</v>
      </c>
      <c r="AA29" s="151">
        <v>2</v>
      </c>
    </row>
    <row r="30" spans="1:27" x14ac:dyDescent="0.25">
      <c r="E30" s="141" t="s">
        <v>777</v>
      </c>
      <c r="X30" s="152" t="s">
        <v>806</v>
      </c>
      <c r="Y30" s="151">
        <v>1</v>
      </c>
      <c r="Z30" s="151">
        <v>1</v>
      </c>
      <c r="AA30" s="151">
        <v>2</v>
      </c>
    </row>
    <row r="31" spans="1:27" x14ac:dyDescent="0.25">
      <c r="X31" s="155" t="s">
        <v>758</v>
      </c>
      <c r="Y31" s="156">
        <v>4</v>
      </c>
      <c r="Z31" s="156">
        <v>16</v>
      </c>
      <c r="AA31" s="156">
        <v>19</v>
      </c>
    </row>
  </sheetData>
  <mergeCells count="8">
    <mergeCell ref="X20:AA20"/>
    <mergeCell ref="O21:O24"/>
    <mergeCell ref="K21:K24"/>
    <mergeCell ref="J21:J24"/>
    <mergeCell ref="A1:V1"/>
    <mergeCell ref="E2:J2"/>
    <mergeCell ref="K2:P2"/>
    <mergeCell ref="Q2:V2"/>
  </mergeCells>
  <phoneticPr fontId="4" type="noConversion"/>
  <pageMargins left="0.7" right="0.7" top="0.75" bottom="0.75" header="0.3" footer="0.3"/>
  <ignoredErrors>
    <ignoredError sqref="O25 J25:K25" formulaRange="1"/>
  </ignoredErrors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63D3E-AECD-4E2F-85D2-D8BBD6D43DE2}">
  <sheetPr codeName="Sheet5">
    <tabColor rgb="FFFFC000"/>
  </sheetPr>
  <dimension ref="A1:H41"/>
  <sheetViews>
    <sheetView workbookViewId="0">
      <selection activeCell="G5" sqref="G5"/>
    </sheetView>
    <sheetView workbookViewId="1"/>
  </sheetViews>
  <sheetFormatPr defaultRowHeight="15" x14ac:dyDescent="0.25"/>
  <cols>
    <col min="1" max="1" width="9.140625" style="2"/>
    <col min="2" max="2" width="28.7109375" style="2" bestFit="1" customWidth="1"/>
    <col min="3" max="3" width="28.7109375" style="2" hidden="1" customWidth="1"/>
    <col min="4" max="5" width="12.7109375" style="2" customWidth="1"/>
    <col min="6" max="6" width="17.7109375" style="2" bestFit="1" customWidth="1"/>
    <col min="7" max="7" width="18.5703125" style="2" bestFit="1" customWidth="1"/>
    <col min="8" max="8" width="16" style="2" customWidth="1"/>
    <col min="9" max="9" width="17.42578125" style="2" customWidth="1"/>
    <col min="10" max="10" width="9.140625" style="2"/>
    <col min="11" max="12" width="9.140625" style="2" customWidth="1"/>
    <col min="13" max="16384" width="9.140625" style="2"/>
  </cols>
  <sheetData>
    <row r="1" spans="1:8" ht="34.5" thickBot="1" x14ac:dyDescent="0.3">
      <c r="A1" s="205" t="s">
        <v>4</v>
      </c>
      <c r="B1" s="206"/>
      <c r="C1" s="206"/>
      <c r="D1" s="206"/>
      <c r="E1" s="206"/>
      <c r="F1" s="206"/>
      <c r="G1" s="206"/>
      <c r="H1" s="207"/>
    </row>
    <row r="2" spans="1:8" ht="30" customHeight="1" thickBot="1" x14ac:dyDescent="0.3">
      <c r="A2" s="175" t="s">
        <v>704</v>
      </c>
      <c r="B2" s="176" t="s">
        <v>4</v>
      </c>
      <c r="C2" s="176" t="s">
        <v>705</v>
      </c>
      <c r="D2" s="234" t="s">
        <v>807</v>
      </c>
      <c r="E2" s="234" t="s">
        <v>706</v>
      </c>
      <c r="F2" s="175" t="s">
        <v>760</v>
      </c>
      <c r="G2" s="176" t="s">
        <v>761</v>
      </c>
      <c r="H2" s="177" t="s">
        <v>762</v>
      </c>
    </row>
    <row r="3" spans="1:8" ht="30" customHeight="1" x14ac:dyDescent="0.25">
      <c r="A3" s="161">
        <f>SUBTOTAL(3,$B$3:Weekly_Boss[[#This Row],[Weekly Boss]])</f>
        <v>1</v>
      </c>
      <c r="B3" s="237" t="s">
        <v>89</v>
      </c>
      <c r="C3" s="217" t="s">
        <v>90</v>
      </c>
      <c r="D3" s="214" t="e" vm="52">
        <f>IFERROR(INDEX(WeeklyBossImg[Icon], MATCH(Weekly_Boss[[#This Row],[NameHelper]], WeeklyBossImg[Name], 0)), "")</f>
        <v>#VALUE!</v>
      </c>
      <c r="E3" s="223">
        <v>1</v>
      </c>
      <c r="F3" s="170">
        <f>SUMIF(WeeklyBoss[Material],Weekly_Boss[[#This Row],[Weekly Boss Material]],WeeklyBoss[Need to Farm])</f>
        <v>19</v>
      </c>
      <c r="G3" s="171">
        <f>IFERROR(INDEX(WeeklyBossInv[Quantity], MATCH(Weekly_Boss[[#This Row],[Weekly Boss Material]],WeeklyBossInv[Icon], 0)), "")</f>
        <v>0</v>
      </c>
      <c r="H3" s="236">
        <f t="shared" ref="H3:H32" si="0">F3-G3</f>
        <v>19</v>
      </c>
    </row>
    <row r="4" spans="1:8" ht="30" customHeight="1" x14ac:dyDescent="0.25">
      <c r="A4" s="161">
        <f>SUBTOTAL(3,$B$3:Weekly_Boss[[#This Row],[Weekly Boss]])</f>
        <v>2</v>
      </c>
      <c r="B4" s="237" t="s">
        <v>89</v>
      </c>
      <c r="C4" s="217" t="s">
        <v>103</v>
      </c>
      <c r="D4" s="214" t="e" vm="536">
        <f>IFERROR(INDEX(WeeklyBossImg[Icon], MATCH(Weekly_Boss[[#This Row],[NameHelper]], WeeklyBossImg[Name], 0)), "")</f>
        <v>#VALUE!</v>
      </c>
      <c r="E4" s="223">
        <v>1</v>
      </c>
      <c r="F4" s="161">
        <f>SUMIF(WeeklyBoss[Material],Weekly_Boss[[#This Row],[Weekly Boss Material]],WeeklyBoss[Need to Farm])</f>
        <v>22</v>
      </c>
      <c r="G4" s="214">
        <f>IFERROR(INDEX(WeeklyBossInv[Quantity], MATCH(Weekly_Boss[[#This Row],[Weekly Boss Material]],WeeklyBossInv[Icon], 0)), "")</f>
        <v>0</v>
      </c>
      <c r="H4" s="162">
        <f>F4-G4</f>
        <v>22</v>
      </c>
    </row>
    <row r="5" spans="1:8" ht="30" customHeight="1" x14ac:dyDescent="0.25">
      <c r="A5" s="161">
        <f>SUBTOTAL(3,$B$3:Weekly_Boss[[#This Row],[Weekly Boss]])</f>
        <v>3</v>
      </c>
      <c r="B5" s="237" t="s">
        <v>89</v>
      </c>
      <c r="C5" s="217" t="s">
        <v>117</v>
      </c>
      <c r="D5" s="214" t="e" vm="372">
        <f>IFERROR(INDEX(WeeklyBossImg[Icon], MATCH(Weekly_Boss[[#This Row],[NameHelper]], WeeklyBossImg[Name], 0)), "")</f>
        <v>#VALUE!</v>
      </c>
      <c r="E5" s="223">
        <v>1</v>
      </c>
      <c r="F5" s="161">
        <f>SUMIF(WeeklyBoss[Material],Weekly_Boss[[#This Row],[Weekly Boss Material]],WeeklyBoss[Need to Farm])</f>
        <v>24</v>
      </c>
      <c r="G5" s="214">
        <f>IFERROR(INDEX(WeeklyBossInv[Quantity], MATCH(Weekly_Boss[[#This Row],[Weekly Boss Material]],WeeklyBossInv[Icon], 0)), "")</f>
        <v>0</v>
      </c>
      <c r="H5" s="162">
        <f t="shared" si="0"/>
        <v>24</v>
      </c>
    </row>
    <row r="6" spans="1:8" ht="30" customHeight="1" x14ac:dyDescent="0.25">
      <c r="A6" s="161">
        <f>SUBTOTAL(3,$B$3:Weekly_Boss[[#This Row],[Weekly Boss]])</f>
        <v>4</v>
      </c>
      <c r="B6" s="237" t="s">
        <v>131</v>
      </c>
      <c r="C6" s="217" t="s">
        <v>132</v>
      </c>
      <c r="D6" s="214" t="e" vm="281">
        <f>IFERROR(INDEX(WeeklyBossImg[Icon], MATCH(Weekly_Boss[[#This Row],[NameHelper]], WeeklyBossImg[Name], 0)), "")</f>
        <v>#VALUE!</v>
      </c>
      <c r="E6" s="223">
        <v>1.01</v>
      </c>
      <c r="F6" s="161">
        <f>SUMIF(WeeklyBoss[Material],Weekly_Boss[[#This Row],[Weekly Boss Material]],WeeklyBoss[Need to Farm])</f>
        <v>8</v>
      </c>
      <c r="G6" s="214">
        <f>IFERROR(INDEX(WeeklyBossInv[Quantity], MATCH(Weekly_Boss[[#This Row],[Weekly Boss Material]],WeeklyBossInv[Icon], 0)), "")</f>
        <v>0</v>
      </c>
      <c r="H6" s="162">
        <f t="shared" si="0"/>
        <v>8</v>
      </c>
    </row>
    <row r="7" spans="1:8" ht="30" customHeight="1" x14ac:dyDescent="0.25">
      <c r="A7" s="161">
        <f>SUBTOTAL(3,$B$3:Weekly_Boss[[#This Row],[Weekly Boss]])</f>
        <v>5</v>
      </c>
      <c r="B7" s="237" t="s">
        <v>131</v>
      </c>
      <c r="C7" s="217" t="s">
        <v>146</v>
      </c>
      <c r="D7" s="214" t="e" vm="166">
        <f>IFERROR(INDEX(WeeklyBossImg[Icon], MATCH(Weekly_Boss[[#This Row],[NameHelper]], WeeklyBossImg[Name], 0)), "")</f>
        <v>#VALUE!</v>
      </c>
      <c r="E7" s="223">
        <v>1.01</v>
      </c>
      <c r="F7" s="161">
        <f>SUMIF(WeeklyBoss[Material],Weekly_Boss[[#This Row],[Weekly Boss Material]],WeeklyBoss[Need to Farm])</f>
        <v>18</v>
      </c>
      <c r="G7" s="214">
        <f>IFERROR(INDEX(WeeklyBossInv[Quantity], MATCH(Weekly_Boss[[#This Row],[Weekly Boss Material]],WeeklyBossInv[Icon], 0)), "")</f>
        <v>0</v>
      </c>
      <c r="H7" s="162">
        <f t="shared" si="0"/>
        <v>18</v>
      </c>
    </row>
    <row r="8" spans="1:8" ht="30" customHeight="1" x14ac:dyDescent="0.25">
      <c r="A8" s="161">
        <f>SUBTOTAL(3,$B$3:Weekly_Boss[[#This Row],[Weekly Boss]])</f>
        <v>6</v>
      </c>
      <c r="B8" s="237" t="s">
        <v>131</v>
      </c>
      <c r="C8" s="217" t="s">
        <v>158</v>
      </c>
      <c r="D8" s="214" t="e" vm="210">
        <f>IFERROR(INDEX(WeeklyBossImg[Icon], MATCH(Weekly_Boss[[#This Row],[NameHelper]], WeeklyBossImg[Name], 0)), "")</f>
        <v>#VALUE!</v>
      </c>
      <c r="E8" s="223">
        <v>1.01</v>
      </c>
      <c r="F8" s="161">
        <f>SUMIF(WeeklyBoss[Material],Weekly_Boss[[#This Row],[Weekly Boss Material]],WeeklyBoss[Need to Farm])</f>
        <v>20</v>
      </c>
      <c r="G8" s="214">
        <f>IFERROR(INDEX(WeeklyBossInv[Quantity], MATCH(Weekly_Boss[[#This Row],[Weekly Boss Material]],WeeklyBossInv[Icon], 0)), "")</f>
        <v>0</v>
      </c>
      <c r="H8" s="162">
        <f t="shared" si="0"/>
        <v>20</v>
      </c>
    </row>
    <row r="9" spans="1:8" ht="30" customHeight="1" x14ac:dyDescent="0.25">
      <c r="A9" s="161">
        <f>SUBTOTAL(3,$B$3:Weekly_Boss[[#This Row],[Weekly Boss]])</f>
        <v>7</v>
      </c>
      <c r="B9" s="237" t="s">
        <v>170</v>
      </c>
      <c r="C9" s="217" t="s">
        <v>171</v>
      </c>
      <c r="D9" s="214" t="e" vm="393">
        <f>IFERROR(INDEX(WeeklyBossImg[Icon], MATCH(Weekly_Boss[[#This Row],[NameHelper]], WeeklyBossImg[Name], 0)), "")</f>
        <v>#VALUE!</v>
      </c>
      <c r="E9" s="223">
        <v>1.1000000000000001</v>
      </c>
      <c r="F9" s="161">
        <f>SUMIF(WeeklyBoss[Material],Weekly_Boss[[#This Row],[Weekly Boss Material]],WeeklyBoss[Need to Farm])</f>
        <v>8</v>
      </c>
      <c r="G9" s="214">
        <f>IFERROR(INDEX(WeeklyBossInv[Quantity], MATCH(Weekly_Boss[[#This Row],[Weekly Boss Material]],WeeklyBossInv[Icon], 0)), "")</f>
        <v>0</v>
      </c>
      <c r="H9" s="162">
        <f t="shared" si="0"/>
        <v>8</v>
      </c>
    </row>
    <row r="10" spans="1:8" ht="30" customHeight="1" x14ac:dyDescent="0.25">
      <c r="A10" s="161">
        <f>SUBTOTAL(3,$B$3:Weekly_Boss[[#This Row],[Weekly Boss]])</f>
        <v>8</v>
      </c>
      <c r="B10" s="237" t="s">
        <v>170</v>
      </c>
      <c r="C10" s="217" t="s">
        <v>184</v>
      </c>
      <c r="D10" s="214" t="e" vm="418">
        <f>IFERROR(INDEX(WeeklyBossImg[Icon], MATCH(Weekly_Boss[[#This Row],[NameHelper]], WeeklyBossImg[Name], 0)), "")</f>
        <v>#VALUE!</v>
      </c>
      <c r="E10" s="223">
        <v>1.1000000000000001</v>
      </c>
      <c r="F10" s="161">
        <f>SUMIF(WeeklyBoss[Material],Weekly_Boss[[#This Row],[Weekly Boss Material]],WeeklyBoss[Need to Farm])</f>
        <v>10</v>
      </c>
      <c r="G10" s="214">
        <f>IFERROR(INDEX(WeeklyBossInv[Quantity], MATCH(Weekly_Boss[[#This Row],[Weekly Boss Material]],WeeklyBossInv[Icon], 0)), "")</f>
        <v>0</v>
      </c>
      <c r="H10" s="162">
        <f t="shared" si="0"/>
        <v>10</v>
      </c>
    </row>
    <row r="11" spans="1:8" ht="30" customHeight="1" x14ac:dyDescent="0.25">
      <c r="A11" s="161">
        <f>SUBTOTAL(3,$B$3:Weekly_Boss[[#This Row],[Weekly Boss]])</f>
        <v>9</v>
      </c>
      <c r="B11" s="237" t="s">
        <v>170</v>
      </c>
      <c r="C11" s="217" t="s">
        <v>194</v>
      </c>
      <c r="D11" s="214" t="e" vm="8">
        <f>IFERROR(INDEX(WeeklyBossImg[Icon], MATCH(Weekly_Boss[[#This Row],[NameHelper]], WeeklyBossImg[Name], 0)), "")</f>
        <v>#VALUE!</v>
      </c>
      <c r="E11" s="223">
        <v>1.1000000000000001</v>
      </c>
      <c r="F11" s="161">
        <f>SUMIF(WeeklyBoss[Material],Weekly_Boss[[#This Row],[Weekly Boss Material]],WeeklyBoss[Need to Farm])</f>
        <v>8</v>
      </c>
      <c r="G11" s="214">
        <f>IFERROR(INDEX(WeeklyBossInv[Quantity], MATCH(Weekly_Boss[[#This Row],[Weekly Boss Material]],WeeklyBossInv[Icon], 0)), "")</f>
        <v>0</v>
      </c>
      <c r="H11" s="162">
        <f t="shared" si="0"/>
        <v>8</v>
      </c>
    </row>
    <row r="12" spans="1:8" ht="30" customHeight="1" x14ac:dyDescent="0.25">
      <c r="A12" s="161">
        <f>SUBTOTAL(3,$B$3:Weekly_Boss[[#This Row],[Weekly Boss]])</f>
        <v>10</v>
      </c>
      <c r="B12" s="237" t="s">
        <v>203</v>
      </c>
      <c r="C12" s="217" t="s">
        <v>204</v>
      </c>
      <c r="D12" s="214" t="e" vm="481">
        <f>IFERROR(INDEX(WeeklyBossImg[Icon], MATCH(Weekly_Boss[[#This Row],[NameHelper]], WeeklyBossImg[Name], 0)), "")</f>
        <v>#VALUE!</v>
      </c>
      <c r="E12" s="223">
        <v>1.5</v>
      </c>
      <c r="F12" s="161">
        <f>SUMIF(WeeklyBoss[Material],Weekly_Boss[[#This Row],[Weekly Boss Material]],WeeklyBoss[Need to Farm])</f>
        <v>6</v>
      </c>
      <c r="G12" s="214">
        <f>IFERROR(INDEX(WeeklyBossInv[Quantity], MATCH(Weekly_Boss[[#This Row],[Weekly Boss Material]],WeeklyBossInv[Icon], 0)), "")</f>
        <v>0</v>
      </c>
      <c r="H12" s="162">
        <f t="shared" si="0"/>
        <v>6</v>
      </c>
    </row>
    <row r="13" spans="1:8" ht="30" customHeight="1" x14ac:dyDescent="0.25">
      <c r="A13" s="161">
        <f>SUBTOTAL(3,$B$3:Weekly_Boss[[#This Row],[Weekly Boss]])</f>
        <v>11</v>
      </c>
      <c r="B13" s="237" t="s">
        <v>203</v>
      </c>
      <c r="C13" s="217" t="s">
        <v>215</v>
      </c>
      <c r="D13" s="214" t="e" vm="150">
        <f>IFERROR(INDEX(WeeklyBossImg[Icon], MATCH(Weekly_Boss[[#This Row],[NameHelper]], WeeklyBossImg[Name], 0)), "")</f>
        <v>#VALUE!</v>
      </c>
      <c r="E13" s="223">
        <v>1.5</v>
      </c>
      <c r="F13" s="161">
        <f>SUMIF(WeeklyBoss[Material],Weekly_Boss[[#This Row],[Weekly Boss Material]],WeeklyBoss[Need to Farm])</f>
        <v>8</v>
      </c>
      <c r="G13" s="214">
        <f>IFERROR(INDEX(WeeklyBossInv[Quantity], MATCH(Weekly_Boss[[#This Row],[Weekly Boss Material]],WeeklyBossInv[Icon], 0)), "")</f>
        <v>0</v>
      </c>
      <c r="H13" s="162">
        <f t="shared" si="0"/>
        <v>8</v>
      </c>
    </row>
    <row r="14" spans="1:8" ht="30" customHeight="1" x14ac:dyDescent="0.25">
      <c r="A14" s="161">
        <f>SUBTOTAL(3,$B$3:Weekly_Boss[[#This Row],[Weekly Boss]])</f>
        <v>12</v>
      </c>
      <c r="B14" s="237" t="s">
        <v>203</v>
      </c>
      <c r="C14" s="217" t="s">
        <v>225</v>
      </c>
      <c r="D14" s="214" t="e" vm="181">
        <f>IFERROR(INDEX(WeeklyBossImg[Icon], MATCH(Weekly_Boss[[#This Row],[NameHelper]], WeeklyBossImg[Name], 0)), "")</f>
        <v>#VALUE!</v>
      </c>
      <c r="E14" s="223">
        <v>1.5</v>
      </c>
      <c r="F14" s="161">
        <f>SUMIF(WeeklyBoss[Material],Weekly_Boss[[#This Row],[Weekly Boss Material]],WeeklyBoss[Need to Farm])</f>
        <v>16</v>
      </c>
      <c r="G14" s="214">
        <f>IFERROR(INDEX(WeeklyBossInv[Quantity], MATCH(Weekly_Boss[[#This Row],[Weekly Boss Material]],WeeklyBossInv[Icon], 0)), "")</f>
        <v>0</v>
      </c>
      <c r="H14" s="162">
        <f t="shared" si="0"/>
        <v>16</v>
      </c>
    </row>
    <row r="15" spans="1:8" ht="30" customHeight="1" x14ac:dyDescent="0.25">
      <c r="A15" s="161">
        <f>SUBTOTAL(3,$B$3:Weekly_Boss[[#This Row],[Weekly Boss]])</f>
        <v>13</v>
      </c>
      <c r="B15" s="237" t="s">
        <v>235</v>
      </c>
      <c r="C15" s="217" t="s">
        <v>236</v>
      </c>
      <c r="D15" s="214" t="e" vm="582">
        <f>IFERROR(INDEX(WeeklyBossImg[Icon], MATCH(Weekly_Boss[[#This Row],[NameHelper]], WeeklyBossImg[Name], 0)), "")</f>
        <v>#VALUE!</v>
      </c>
      <c r="E15" s="223">
        <v>2.1</v>
      </c>
      <c r="F15" s="161">
        <f>SUMIF(WeeklyBoss[Material],Weekly_Boss[[#This Row],[Weekly Boss Material]],WeeklyBoss[Need to Farm])</f>
        <v>8</v>
      </c>
      <c r="G15" s="214">
        <f>IFERROR(INDEX(WeeklyBossInv[Quantity], MATCH(Weekly_Boss[[#This Row],[Weekly Boss Material]],WeeklyBossInv[Icon], 0)), "")</f>
        <v>0</v>
      </c>
      <c r="H15" s="162">
        <f t="shared" si="0"/>
        <v>8</v>
      </c>
    </row>
    <row r="16" spans="1:8" ht="30" customHeight="1" x14ac:dyDescent="0.25">
      <c r="A16" s="161">
        <f>SUBTOTAL(3,$B$3:Weekly_Boss[[#This Row],[Weekly Boss]])</f>
        <v>14</v>
      </c>
      <c r="B16" s="237" t="s">
        <v>235</v>
      </c>
      <c r="C16" s="217" t="s">
        <v>246</v>
      </c>
      <c r="D16" s="214" t="e" vm="432">
        <f>IFERROR(INDEX(WeeklyBossImg[Icon], MATCH(Weekly_Boss[[#This Row],[NameHelper]], WeeklyBossImg[Name], 0)), "")</f>
        <v>#VALUE!</v>
      </c>
      <c r="E16" s="223">
        <v>2.1</v>
      </c>
      <c r="F16" s="161">
        <f>SUMIF(WeeklyBoss[Material],Weekly_Boss[[#This Row],[Weekly Boss Material]],WeeklyBoss[Need to Farm])</f>
        <v>16</v>
      </c>
      <c r="G16" s="214">
        <f>IFERROR(INDEX(WeeklyBossInv[Quantity], MATCH(Weekly_Boss[[#This Row],[Weekly Boss Material]],WeeklyBossInv[Icon], 0)), "")</f>
        <v>0</v>
      </c>
      <c r="H16" s="162">
        <f t="shared" si="0"/>
        <v>16</v>
      </c>
    </row>
    <row r="17" spans="1:8" ht="30" customHeight="1" x14ac:dyDescent="0.25">
      <c r="A17" s="161">
        <f>SUBTOTAL(3,$B$3:Weekly_Boss[[#This Row],[Weekly Boss]])</f>
        <v>15</v>
      </c>
      <c r="B17" s="237" t="s">
        <v>235</v>
      </c>
      <c r="C17" s="217" t="s">
        <v>256</v>
      </c>
      <c r="D17" s="214" t="e" vm="361">
        <f>IFERROR(INDEX(WeeklyBossImg[Icon], MATCH(Weekly_Boss[[#This Row],[NameHelper]], WeeklyBossImg[Name], 0)), "")</f>
        <v>#VALUE!</v>
      </c>
      <c r="E17" s="223">
        <v>2.1</v>
      </c>
      <c r="F17" s="161">
        <f>SUMIF(WeeklyBoss[Material],Weekly_Boss[[#This Row],[Weekly Boss Material]],WeeklyBoss[Need to Farm])</f>
        <v>16</v>
      </c>
      <c r="G17" s="214">
        <f>IFERROR(INDEX(WeeklyBossInv[Quantity], MATCH(Weekly_Boss[[#This Row],[Weekly Boss Material]],WeeklyBossInv[Icon], 0)), "")</f>
        <v>0</v>
      </c>
      <c r="H17" s="162">
        <f t="shared" si="0"/>
        <v>16</v>
      </c>
    </row>
    <row r="18" spans="1:8" ht="30" customHeight="1" x14ac:dyDescent="0.25">
      <c r="A18" s="161">
        <f>SUBTOTAL(3,$B$3:Weekly_Boss[[#This Row],[Weekly Boss]])</f>
        <v>16</v>
      </c>
      <c r="B18" s="237" t="s">
        <v>266</v>
      </c>
      <c r="C18" s="217" t="s">
        <v>267</v>
      </c>
      <c r="D18" s="214" t="e" vm="197">
        <f>IFERROR(INDEX(WeeklyBossImg[Icon], MATCH(Weekly_Boss[[#This Row],[NameHelper]], WeeklyBossImg[Name], 0)), "")</f>
        <v>#VALUE!</v>
      </c>
      <c r="E18" s="223">
        <v>2.5</v>
      </c>
      <c r="F18" s="161">
        <f>SUMIF(WeeklyBoss[Material],Weekly_Boss[[#This Row],[Weekly Boss Material]],WeeklyBoss[Need to Farm])</f>
        <v>0</v>
      </c>
      <c r="G18" s="214">
        <f>IFERROR(INDEX(WeeklyBossInv[Quantity], MATCH(Weekly_Boss[[#This Row],[Weekly Boss Material]],WeeklyBossInv[Icon], 0)), "")</f>
        <v>0</v>
      </c>
      <c r="H18" s="162">
        <f t="shared" si="0"/>
        <v>0</v>
      </c>
    </row>
    <row r="19" spans="1:8" ht="30" customHeight="1" x14ac:dyDescent="0.25">
      <c r="A19" s="161">
        <f>SUBTOTAL(3,$B$3:Weekly_Boss[[#This Row],[Weekly Boss]])</f>
        <v>17</v>
      </c>
      <c r="B19" s="237" t="s">
        <v>266</v>
      </c>
      <c r="C19" s="217" t="s">
        <v>278</v>
      </c>
      <c r="D19" s="214" t="e" vm="463">
        <f>IFERROR(INDEX(WeeklyBossImg[Icon], MATCH(Weekly_Boss[[#This Row],[NameHelper]], WeeklyBossImg[Name], 0)), "")</f>
        <v>#VALUE!</v>
      </c>
      <c r="E19" s="223">
        <v>2.5</v>
      </c>
      <c r="F19" s="161">
        <f>SUMIF(WeeklyBoss[Material],Weekly_Boss[[#This Row],[Weekly Boss Material]],WeeklyBoss[Need to Farm])</f>
        <v>16</v>
      </c>
      <c r="G19" s="214">
        <f>IFERROR(INDEX(WeeklyBossInv[Quantity], MATCH(Weekly_Boss[[#This Row],[Weekly Boss Material]],WeeklyBossInv[Icon], 0)), "")</f>
        <v>0</v>
      </c>
      <c r="H19" s="162">
        <f t="shared" si="0"/>
        <v>16</v>
      </c>
    </row>
    <row r="20" spans="1:8" ht="30" customHeight="1" x14ac:dyDescent="0.25">
      <c r="A20" s="161">
        <f>SUBTOTAL(3,$B$3:Weekly_Boss[[#This Row],[Weekly Boss]])</f>
        <v>18</v>
      </c>
      <c r="B20" s="237" t="s">
        <v>266</v>
      </c>
      <c r="C20" s="217" t="s">
        <v>287</v>
      </c>
      <c r="D20" s="214" t="e" vm="239">
        <f>IFERROR(INDEX(WeeklyBossImg[Icon], MATCH(Weekly_Boss[[#This Row],[NameHelper]], WeeklyBossImg[Name], 0)), "")</f>
        <v>#VALUE!</v>
      </c>
      <c r="E20" s="223">
        <v>2.5</v>
      </c>
      <c r="F20" s="161">
        <f>SUMIF(WeeklyBoss[Material],Weekly_Boss[[#This Row],[Weekly Boss Material]],WeeklyBoss[Need to Farm])</f>
        <v>20</v>
      </c>
      <c r="G20" s="214">
        <f>IFERROR(INDEX(WeeklyBossInv[Quantity], MATCH(Weekly_Boss[[#This Row],[Weekly Boss Material]],WeeklyBossInv[Icon], 0)), "")</f>
        <v>0</v>
      </c>
      <c r="H20" s="162">
        <f t="shared" si="0"/>
        <v>20</v>
      </c>
    </row>
    <row r="21" spans="1:8" ht="30" customHeight="1" x14ac:dyDescent="0.25">
      <c r="A21" s="161">
        <f>SUBTOTAL(3,$B$3:Weekly_Boss[[#This Row],[Weekly Boss]])</f>
        <v>19</v>
      </c>
      <c r="B21" s="237" t="s">
        <v>38</v>
      </c>
      <c r="C21" s="217" t="s">
        <v>297</v>
      </c>
      <c r="D21" s="214" t="e" vm="403">
        <f>IFERROR(INDEX(WeeklyBossImg[Icon], MATCH(Weekly_Boss[[#This Row],[NameHelper]], WeeklyBossImg[Name], 0)), "")</f>
        <v>#VALUE!</v>
      </c>
      <c r="E21" s="223">
        <v>3.2</v>
      </c>
      <c r="F21" s="161">
        <f>SUMIF(WeeklyBoss[Material],Weekly_Boss[[#This Row],[Weekly Boss Material]],WeeklyBoss[Need to Farm])</f>
        <v>0</v>
      </c>
      <c r="G21" s="214">
        <f>IFERROR(INDEX(WeeklyBossInv[Quantity], MATCH(Weekly_Boss[[#This Row],[Weekly Boss Material]],WeeklyBossInv[Icon], 0)), "")</f>
        <v>0</v>
      </c>
      <c r="H21" s="162">
        <f t="shared" si="0"/>
        <v>0</v>
      </c>
    </row>
    <row r="22" spans="1:8" ht="30" customHeight="1" x14ac:dyDescent="0.25">
      <c r="A22" s="161">
        <f>SUBTOTAL(3,$B$3:Weekly_Boss[[#This Row],[Weekly Boss]])</f>
        <v>20</v>
      </c>
      <c r="B22" s="237" t="s">
        <v>38</v>
      </c>
      <c r="C22" s="217" t="s">
        <v>308</v>
      </c>
      <c r="D22" s="214" t="e" vm="450">
        <f>IFERROR(INDEX(WeeklyBossImg[Icon], MATCH(Weekly_Boss[[#This Row],[NameHelper]], WeeklyBossImg[Name], 0)), "")</f>
        <v>#VALUE!</v>
      </c>
      <c r="E22" s="223">
        <v>3.2</v>
      </c>
      <c r="F22" s="161">
        <f>SUMIF(WeeklyBoss[Material],Weekly_Boss[[#This Row],[Weekly Boss Material]],WeeklyBoss[Need to Farm])</f>
        <v>8</v>
      </c>
      <c r="G22" s="214">
        <f>IFERROR(INDEX(WeeklyBossInv[Quantity], MATCH(Weekly_Boss[[#This Row],[Weekly Boss Material]],WeeklyBossInv[Icon], 0)), "")</f>
        <v>0</v>
      </c>
      <c r="H22" s="162">
        <f t="shared" si="0"/>
        <v>8</v>
      </c>
    </row>
    <row r="23" spans="1:8" ht="30" customHeight="1" x14ac:dyDescent="0.25">
      <c r="A23" s="161">
        <f>SUBTOTAL(3,$B$3:Weekly_Boss[[#This Row],[Weekly Boss]])</f>
        <v>21</v>
      </c>
      <c r="B23" s="237" t="s">
        <v>38</v>
      </c>
      <c r="C23" s="217" t="s">
        <v>318</v>
      </c>
      <c r="D23" s="214" t="e" vm="30">
        <f>IFERROR(INDEX(WeeklyBossImg[Icon], MATCH(Weekly_Boss[[#This Row],[NameHelper]], WeeklyBossImg[Name], 0)), "")</f>
        <v>#VALUE!</v>
      </c>
      <c r="E23" s="223">
        <v>3.2</v>
      </c>
      <c r="F23" s="161">
        <f>SUMIF(WeeklyBoss[Material],Weekly_Boss[[#This Row],[Weekly Boss Material]],WeeklyBoss[Need to Farm])</f>
        <v>11</v>
      </c>
      <c r="G23" s="214">
        <f>IFERROR(INDEX(WeeklyBossInv[Quantity], MATCH(Weekly_Boss[[#This Row],[Weekly Boss Material]],WeeklyBossInv[Icon], 0)), "")</f>
        <v>0</v>
      </c>
      <c r="H23" s="162">
        <f t="shared" si="0"/>
        <v>11</v>
      </c>
    </row>
    <row r="24" spans="1:8" ht="30" customHeight="1" x14ac:dyDescent="0.25">
      <c r="A24" s="161">
        <f>SUBTOTAL(3,$B$3:Weekly_Boss[[#This Row],[Weekly Boss]])</f>
        <v>22</v>
      </c>
      <c r="B24" s="237" t="s">
        <v>327</v>
      </c>
      <c r="C24" s="217" t="s">
        <v>328</v>
      </c>
      <c r="D24" s="214" t="e" vm="440">
        <f>IFERROR(INDEX(WeeklyBossImg[Icon], MATCH(Weekly_Boss[[#This Row],[NameHelper]], WeeklyBossImg[Name], 0)), "")</f>
        <v>#VALUE!</v>
      </c>
      <c r="E24" s="223">
        <v>3.6</v>
      </c>
      <c r="F24" s="161">
        <f>SUMIF(WeeklyBoss[Material],Weekly_Boss[[#This Row],[Weekly Boss Material]],WeeklyBoss[Need to Farm])</f>
        <v>8</v>
      </c>
      <c r="G24" s="214">
        <f>IFERROR(INDEX(WeeklyBossInv[Quantity], MATCH(Weekly_Boss[[#This Row],[Weekly Boss Material]],WeeklyBossInv[Icon], 0)), "")</f>
        <v>0</v>
      </c>
      <c r="H24" s="162">
        <f t="shared" si="0"/>
        <v>8</v>
      </c>
    </row>
    <row r="25" spans="1:8" ht="30" customHeight="1" x14ac:dyDescent="0.25">
      <c r="A25" s="161">
        <f>SUBTOTAL(3,$B$3:Weekly_Boss[[#This Row],[Weekly Boss]])</f>
        <v>23</v>
      </c>
      <c r="B25" s="237" t="s">
        <v>327</v>
      </c>
      <c r="C25" s="217" t="s">
        <v>339</v>
      </c>
      <c r="D25" s="214" t="e" vm="93">
        <f>IFERROR(INDEX(WeeklyBossImg[Icon], MATCH(Weekly_Boss[[#This Row],[NameHelper]], WeeklyBossImg[Name], 0)), "")</f>
        <v>#VALUE!</v>
      </c>
      <c r="E25" s="223">
        <v>3.6</v>
      </c>
      <c r="F25" s="161">
        <f>SUMIF(WeeklyBoss[Material],Weekly_Boss[[#This Row],[Weekly Boss Material]],WeeklyBoss[Need to Farm])</f>
        <v>16</v>
      </c>
      <c r="G25" s="214">
        <f>IFERROR(INDEX(WeeklyBossInv[Quantity], MATCH(Weekly_Boss[[#This Row],[Weekly Boss Material]],WeeklyBossInv[Icon], 0)), "")</f>
        <v>0</v>
      </c>
      <c r="H25" s="162">
        <f t="shared" si="0"/>
        <v>16</v>
      </c>
    </row>
    <row r="26" spans="1:8" ht="30" customHeight="1" x14ac:dyDescent="0.25">
      <c r="A26" s="161">
        <f>SUBTOTAL(3,$B$3:Weekly_Boss[[#This Row],[Weekly Boss]])</f>
        <v>24</v>
      </c>
      <c r="B26" s="237" t="s">
        <v>327</v>
      </c>
      <c r="C26" s="217" t="s">
        <v>349</v>
      </c>
      <c r="D26" s="214" t="e" vm="519">
        <f>IFERROR(INDEX(WeeklyBossImg[Icon], MATCH(Weekly_Boss[[#This Row],[NameHelper]], WeeklyBossImg[Name], 0)), "")</f>
        <v>#VALUE!</v>
      </c>
      <c r="E26" s="223">
        <v>3.6</v>
      </c>
      <c r="F26" s="161">
        <f>SUMIF(WeeklyBoss[Material],Weekly_Boss[[#This Row],[Weekly Boss Material]],WeeklyBoss[Need to Farm])</f>
        <v>8</v>
      </c>
      <c r="G26" s="214">
        <f>IFERROR(INDEX(WeeklyBossInv[Quantity], MATCH(Weekly_Boss[[#This Row],[Weekly Boss Material]],WeeklyBossInv[Icon], 0)), "")</f>
        <v>0</v>
      </c>
      <c r="H26" s="162">
        <f t="shared" si="0"/>
        <v>8</v>
      </c>
    </row>
    <row r="27" spans="1:8" ht="30" customHeight="1" x14ac:dyDescent="0.25">
      <c r="A27" s="161">
        <f>SUBTOTAL(3,$B$3:Weekly_Boss[[#This Row],[Weekly Boss]])</f>
        <v>25</v>
      </c>
      <c r="B27" s="237" t="s">
        <v>359</v>
      </c>
      <c r="C27" s="217" t="s">
        <v>360</v>
      </c>
      <c r="D27" s="214" t="e" vm="73">
        <f>IFERROR(INDEX(WeeklyBossImg[Icon], MATCH(Weekly_Boss[[#This Row],[NameHelper]], WeeklyBossImg[Name], 0)), "")</f>
        <v>#VALUE!</v>
      </c>
      <c r="E27" s="223">
        <v>4.2</v>
      </c>
      <c r="F27" s="161">
        <f>SUMIF(WeeklyBoss[Material],Weekly_Boss[[#This Row],[Weekly Boss Material]],WeeklyBoss[Need to Farm])</f>
        <v>8</v>
      </c>
      <c r="G27" s="214">
        <f>IFERROR(INDEX(WeeklyBossInv[Quantity], MATCH(Weekly_Boss[[#This Row],[Weekly Boss Material]],WeeklyBossInv[Icon], 0)), "")</f>
        <v>0</v>
      </c>
      <c r="H27" s="162">
        <f t="shared" si="0"/>
        <v>8</v>
      </c>
    </row>
    <row r="28" spans="1:8" ht="30" customHeight="1" x14ac:dyDescent="0.25">
      <c r="A28" s="161">
        <f>SUBTOTAL(3,$B$3:Weekly_Boss[[#This Row],[Weekly Boss]])</f>
        <v>26</v>
      </c>
      <c r="B28" s="237" t="s">
        <v>359</v>
      </c>
      <c r="C28" s="217" t="s">
        <v>370</v>
      </c>
      <c r="D28" s="214" t="e" vm="594">
        <f>IFERROR(INDEX(WeeklyBossImg[Icon], MATCH(Weekly_Boss[[#This Row],[NameHelper]], WeeklyBossImg[Name], 0)), "")</f>
        <v>#VALUE!</v>
      </c>
      <c r="E28" s="223">
        <v>4.2</v>
      </c>
      <c r="F28" s="161">
        <f>SUMIF(WeeklyBoss[Material],Weekly_Boss[[#This Row],[Weekly Boss Material]],WeeklyBoss[Need to Farm])</f>
        <v>8</v>
      </c>
      <c r="G28" s="214">
        <f>IFERROR(INDEX(WeeklyBossInv[Quantity], MATCH(Weekly_Boss[[#This Row],[Weekly Boss Material]],WeeklyBossInv[Icon], 0)), "")</f>
        <v>0</v>
      </c>
      <c r="H28" s="162">
        <f t="shared" si="0"/>
        <v>8</v>
      </c>
    </row>
    <row r="29" spans="1:8" ht="30" customHeight="1" x14ac:dyDescent="0.25">
      <c r="A29" s="161">
        <f>SUBTOTAL(3,$B$3:Weekly_Boss[[#This Row],[Weekly Boss]])</f>
        <v>27</v>
      </c>
      <c r="B29" s="237" t="s">
        <v>359</v>
      </c>
      <c r="C29" s="217" t="s">
        <v>380</v>
      </c>
      <c r="D29" s="214" t="e" vm="114">
        <f>IFERROR(INDEX(WeeklyBossImg[Icon], MATCH(Weekly_Boss[[#This Row],[NameHelper]], WeeklyBossImg[Name], 0)), "")</f>
        <v>#VALUE!</v>
      </c>
      <c r="E29" s="223">
        <v>4.2</v>
      </c>
      <c r="F29" s="161">
        <f>SUMIF(WeeklyBoss[Material],Weekly_Boss[[#This Row],[Weekly Boss Material]],WeeklyBoss[Need to Farm])</f>
        <v>8</v>
      </c>
      <c r="G29" s="214">
        <f>IFERROR(INDEX(WeeklyBossInv[Quantity], MATCH(Weekly_Boss[[#This Row],[Weekly Boss Material]],WeeklyBossInv[Icon], 0)), "")</f>
        <v>0</v>
      </c>
      <c r="H29" s="162">
        <f t="shared" si="0"/>
        <v>8</v>
      </c>
    </row>
    <row r="30" spans="1:8" ht="30" customHeight="1" x14ac:dyDescent="0.25">
      <c r="A30" s="161">
        <f>SUBTOTAL(3,$B$3:Weekly_Boss[[#This Row],[Weekly Boss]])</f>
        <v>28</v>
      </c>
      <c r="B30" s="237" t="s">
        <v>390</v>
      </c>
      <c r="C30" s="217" t="s">
        <v>391</v>
      </c>
      <c r="D30" s="214" t="e" vm="790">
        <f>IFERROR(INDEX(WeeklyBossImg[Icon], MATCH(Weekly_Boss[[#This Row],[NameHelper]], WeeklyBossImg[Name], 0)), "")</f>
        <v>#VALUE!</v>
      </c>
      <c r="E30" s="223">
        <v>4.5999999999999996</v>
      </c>
      <c r="F30" s="161">
        <f>SUMIF(WeeklyBoss[Material],Weekly_Boss[[#This Row],[Weekly Boss Material]],WeeklyBoss[Need to Farm])</f>
        <v>0</v>
      </c>
      <c r="G30" s="214">
        <f>IFERROR(INDEX(WeeklyBossInv[Quantity], MATCH(Weekly_Boss[[#This Row],[Weekly Boss Material]],WeeklyBossInv[Icon], 0)), "")</f>
        <v>0</v>
      </c>
      <c r="H30" s="162">
        <f t="shared" si="0"/>
        <v>0</v>
      </c>
    </row>
    <row r="31" spans="1:8" ht="30" customHeight="1" x14ac:dyDescent="0.25">
      <c r="A31" s="161">
        <f>SUBTOTAL(3,$B$3:Weekly_Boss[[#This Row],[Weekly Boss]])</f>
        <v>29</v>
      </c>
      <c r="B31" s="237" t="s">
        <v>390</v>
      </c>
      <c r="C31" s="217" t="s">
        <v>402</v>
      </c>
      <c r="D31" s="214" t="e" vm="792">
        <f>IFERROR(INDEX(WeeklyBossImg[Icon], MATCH(Weekly_Boss[[#This Row],[NameHelper]], WeeklyBossImg[Name], 0)), "")</f>
        <v>#VALUE!</v>
      </c>
      <c r="E31" s="223">
        <v>4.5999999999999996</v>
      </c>
      <c r="F31" s="161">
        <f>SUMIF(WeeklyBoss[Material],Weekly_Boss[[#This Row],[Weekly Boss Material]],WeeklyBoss[Need to Farm])</f>
        <v>0</v>
      </c>
      <c r="G31" s="214">
        <f>IFERROR(INDEX(WeeklyBossInv[Quantity], MATCH(Weekly_Boss[[#This Row],[Weekly Boss Material]],WeeklyBossInv[Icon], 0)), "")</f>
        <v>0</v>
      </c>
      <c r="H31" s="162">
        <f t="shared" si="0"/>
        <v>0</v>
      </c>
    </row>
    <row r="32" spans="1:8" ht="30" customHeight="1" thickBot="1" x14ac:dyDescent="0.3">
      <c r="A32" s="161">
        <f>SUBTOTAL(3,$B$3:Weekly_Boss[[#This Row],[Weekly Boss]])</f>
        <v>30</v>
      </c>
      <c r="B32" s="237" t="s">
        <v>390</v>
      </c>
      <c r="C32" s="217" t="s">
        <v>410</v>
      </c>
      <c r="D32" s="214" t="e" vm="553">
        <f>IFERROR(INDEX(WeeklyBossImg[Icon], MATCH(Weekly_Boss[[#This Row],[NameHelper]], WeeklyBossImg[Name], 0)), "")</f>
        <v>#VALUE!</v>
      </c>
      <c r="E32" s="223">
        <v>4.5999999999999996</v>
      </c>
      <c r="F32" s="163">
        <f>SUMIF(WeeklyBoss[Material],Weekly_Boss[[#This Row],[Weekly Boss Material]],WeeklyBoss[Need to Farm])</f>
        <v>2</v>
      </c>
      <c r="G32" s="164">
        <f>IFERROR(INDEX(WeeklyBossInv[Quantity], MATCH(Weekly_Boss[[#This Row],[Weekly Boss Material]],WeeklyBossInv[Icon], 0)), "")</f>
        <v>0</v>
      </c>
      <c r="H32" s="165">
        <f t="shared" si="0"/>
        <v>2</v>
      </c>
    </row>
    <row r="33" spans="1:8" ht="15.75" thickBot="1" x14ac:dyDescent="0.3">
      <c r="A33" s="175" t="s">
        <v>758</v>
      </c>
      <c r="B33" s="176"/>
      <c r="C33" s="176"/>
      <c r="D33" s="176"/>
      <c r="E33" s="177"/>
      <c r="F33" s="175">
        <f>SUBTOTAL(109,Weekly_Boss[Mats Needed])</f>
        <v>320</v>
      </c>
      <c r="G33" s="176">
        <f>SUBTOTAL(109,Weekly_Boss[Mats Acquired])</f>
        <v>0</v>
      </c>
      <c r="H33" s="177">
        <f>SUMIF(H3:H32,"&gt;=0")</f>
        <v>320</v>
      </c>
    </row>
    <row r="34" spans="1:8" x14ac:dyDescent="0.25">
      <c r="A34" s="7"/>
      <c r="B34" s="8"/>
      <c r="C34" s="8"/>
      <c r="D34" s="17"/>
      <c r="E34" s="17" t="s">
        <v>763</v>
      </c>
      <c r="F34" s="140"/>
      <c r="G34" s="4"/>
    </row>
    <row r="35" spans="1:8" x14ac:dyDescent="0.25">
      <c r="A35" s="5"/>
      <c r="D35" s="2" t="s">
        <v>808</v>
      </c>
      <c r="E35" s="2" cm="1">
        <f t="array" ref="E35">SUMPRODUCT(1/COUNTIF(Weekly_Boss[Weekly Boss],Weekly_Boss[Weekly Boss]))</f>
        <v>10</v>
      </c>
      <c r="F35" s="6" t="s">
        <v>770</v>
      </c>
      <c r="G35" s="135"/>
    </row>
    <row r="36" spans="1:8" x14ac:dyDescent="0.25">
      <c r="A36" s="5"/>
      <c r="D36" s="2" t="s">
        <v>771</v>
      </c>
      <c r="E36" s="136">
        <v>2.25</v>
      </c>
      <c r="F36" s="6" t="s">
        <v>772</v>
      </c>
      <c r="G36" s="135"/>
    </row>
    <row r="37" spans="1:8" x14ac:dyDescent="0.25">
      <c r="A37" s="5"/>
      <c r="D37" s="2" t="s">
        <v>809</v>
      </c>
      <c r="E37" s="136">
        <f>E35*E36</f>
        <v>22.5</v>
      </c>
      <c r="F37" s="6" t="s">
        <v>772</v>
      </c>
      <c r="G37" s="135"/>
    </row>
    <row r="38" spans="1:8" x14ac:dyDescent="0.25">
      <c r="A38" s="5"/>
      <c r="D38" s="4" t="s">
        <v>810</v>
      </c>
      <c r="E38" s="137">
        <f>Weekly_Boss[[#Totals],[Remaining Mats]]/E37</f>
        <v>14.222222222222221</v>
      </c>
      <c r="F38" s="138" t="s">
        <v>811</v>
      </c>
      <c r="G38" s="135"/>
    </row>
    <row r="39" spans="1:8" x14ac:dyDescent="0.25">
      <c r="A39" s="5"/>
      <c r="D39" s="4" t="s">
        <v>812</v>
      </c>
      <c r="E39" s="137">
        <f>E38*7</f>
        <v>99.555555555555543</v>
      </c>
      <c r="F39" s="138" t="s">
        <v>775</v>
      </c>
      <c r="G39" s="135"/>
    </row>
    <row r="40" spans="1:8" x14ac:dyDescent="0.25">
      <c r="A40" s="7"/>
      <c r="B40" s="8"/>
      <c r="C40" s="8"/>
      <c r="D40" s="17" t="s">
        <v>776</v>
      </c>
      <c r="E40" s="139">
        <f>450*E38</f>
        <v>6400</v>
      </c>
      <c r="F40" s="140" t="s">
        <v>767</v>
      </c>
      <c r="G40" s="135"/>
    </row>
    <row r="41" spans="1:8" x14ac:dyDescent="0.25">
      <c r="D41" s="141" t="s">
        <v>777</v>
      </c>
      <c r="E41" s="141"/>
    </row>
  </sheetData>
  <mergeCells count="1">
    <mergeCell ref="A1:H1"/>
  </mergeCells>
  <pageMargins left="0.7" right="0.7" top="0.75" bottom="0.75" header="0.3" footer="0.3"/>
  <legacy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98CEF-277C-40F0-BBA0-EC0D14C2E67A}">
  <sheetPr codeName="Sheet6">
    <tabColor rgb="FFFFC000"/>
  </sheetPr>
  <dimension ref="A1:G46"/>
  <sheetViews>
    <sheetView zoomScale="85" zoomScaleNormal="85" workbookViewId="0">
      <selection activeCell="E5" sqref="E5"/>
    </sheetView>
    <sheetView workbookViewId="1">
      <selection sqref="A1:G1"/>
    </sheetView>
  </sheetViews>
  <sheetFormatPr defaultRowHeight="15" x14ac:dyDescent="0.25"/>
  <cols>
    <col min="1" max="2" width="9.140625" style="2" customWidth="1"/>
    <col min="3" max="3" width="23.85546875" style="2" hidden="1" customWidth="1"/>
    <col min="4" max="4" width="26.28515625" style="2" bestFit="1" customWidth="1"/>
    <col min="5" max="7" width="14.28515625" style="2" customWidth="1"/>
    <col min="8" max="16384" width="9.140625" style="2"/>
  </cols>
  <sheetData>
    <row r="1" spans="1:7" ht="34.5" thickBot="1" x14ac:dyDescent="0.3">
      <c r="A1" s="205" t="s">
        <v>20</v>
      </c>
      <c r="B1" s="206"/>
      <c r="C1" s="206"/>
      <c r="D1" s="206"/>
      <c r="E1" s="206"/>
      <c r="F1" s="206"/>
      <c r="G1" s="207"/>
    </row>
    <row r="2" spans="1:7" s="13" customFormat="1" ht="30" customHeight="1" thickBot="1" x14ac:dyDescent="0.3">
      <c r="A2" s="183" t="s">
        <v>704</v>
      </c>
      <c r="B2" s="215" t="s">
        <v>919</v>
      </c>
      <c r="C2" s="215" t="s">
        <v>882</v>
      </c>
      <c r="D2" s="215" t="s">
        <v>883</v>
      </c>
      <c r="E2" s="233" t="s">
        <v>814</v>
      </c>
      <c r="F2" s="234" t="s">
        <v>815</v>
      </c>
      <c r="G2" s="235" t="s">
        <v>816</v>
      </c>
    </row>
    <row r="3" spans="1:7" ht="30" customHeight="1" x14ac:dyDescent="0.25">
      <c r="A3" s="161">
        <f>SUBTOTAL(3,$B$3:Ascension_Flower[[#This Row],[Specialty]])</f>
        <v>1</v>
      </c>
      <c r="B3" s="214" t="e" vm="226">
        <f>IFERROR(INDEX(LocalSpecialtiesImg[Icon], MATCH(Ascension_Flower[[#This Row],[HelperName]],LocalSpecialtiesImg[Name], 0)), "")</f>
        <v>#VALUE!</v>
      </c>
      <c r="C3" s="214" t="s">
        <v>94</v>
      </c>
      <c r="D3" s="225" t="s">
        <v>820</v>
      </c>
      <c r="E3" s="170">
        <f>SUMIF(LocalSpecialties3[Local Specialties],Ascension_Flower[[#This Row],[Specialty]],LocalSpecialties3[Need to Farm])</f>
        <v>165</v>
      </c>
      <c r="F3" s="171">
        <f>IFERROR(INDEX(LocalSpecialtiesInv[Quantity], MATCH(Ascension_Flower[[#This Row],[Specialty]], LocalSpecialtiesInv[Icon], 0)), "")</f>
        <v>0</v>
      </c>
      <c r="G3" s="236">
        <f>Ascension_Flower[[#This Row],[Flowers Needed]]-Ascension_Flower[[#This Row],[Flowers Acquired]]</f>
        <v>165</v>
      </c>
    </row>
    <row r="4" spans="1:7" ht="30" customHeight="1" x14ac:dyDescent="0.25">
      <c r="A4" s="161">
        <f>SUBTOTAL(3,$B$3:Ascension_Flower[[#This Row],[Specialty]])</f>
        <v>2</v>
      </c>
      <c r="B4" s="214" t="e" vm="566">
        <f>IFERROR(INDEX(LocalSpecialtiesImg[Icon], MATCH(Ascension_Flower[[#This Row],[HelperName]],LocalSpecialtiesImg[Name], 0)), "")</f>
        <v>#VALUE!</v>
      </c>
      <c r="C4" s="214" t="s">
        <v>106</v>
      </c>
      <c r="D4" s="225" t="s">
        <v>821</v>
      </c>
      <c r="E4" s="161">
        <f>SUMIF(LocalSpecialties3[Local Specialties],Ascension_Flower[[#This Row],[Specialty]],LocalSpecialties3[Need to Farm])</f>
        <v>0</v>
      </c>
      <c r="F4" s="214">
        <f>IFERROR(INDEX(LocalSpecialtiesInv[Quantity], MATCH(Ascension_Flower[[#This Row],[Specialty]], LocalSpecialtiesInv[Icon], 0)), "")</f>
        <v>0</v>
      </c>
      <c r="G4" s="162">
        <f>Ascension_Flower[[#This Row],[Flowers Needed]]-Ascension_Flower[[#This Row],[Flowers Acquired]]</f>
        <v>0</v>
      </c>
    </row>
    <row r="5" spans="1:7" ht="30" customHeight="1" x14ac:dyDescent="0.25">
      <c r="A5" s="161">
        <f>SUBTOTAL(3,$B$3:Ascension_Flower[[#This Row],[Specialty]])</f>
        <v>3</v>
      </c>
      <c r="B5" s="214" t="e" vm="167">
        <f>IFERROR(INDEX(LocalSpecialtiesImg[Icon], MATCH(Ascension_Flower[[#This Row],[HelperName]],LocalSpecialtiesImg[Name], 0)), "")</f>
        <v>#VALUE!</v>
      </c>
      <c r="C5" s="214" t="s">
        <v>120</v>
      </c>
      <c r="D5" s="225" t="s">
        <v>822</v>
      </c>
      <c r="E5" s="161">
        <f>SUMIF(LocalSpecialties3[Local Specialties],Ascension_Flower[[#This Row],[Specialty]],LocalSpecialties3[Need to Farm])</f>
        <v>320</v>
      </c>
      <c r="F5" s="214">
        <f>IFERROR(INDEX(LocalSpecialtiesInv[Quantity], MATCH(Ascension_Flower[[#This Row],[Specialty]], LocalSpecialtiesInv[Icon], 0)), "")</f>
        <v>0</v>
      </c>
      <c r="G5" s="162">
        <f>Ascension_Flower[[#This Row],[Flowers Needed]]-Ascension_Flower[[#This Row],[Flowers Acquired]]</f>
        <v>320</v>
      </c>
    </row>
    <row r="6" spans="1:7" ht="30" customHeight="1" x14ac:dyDescent="0.25">
      <c r="A6" s="161">
        <f>SUBTOTAL(3,$B$3:Ascension_Flower[[#This Row],[Specialty]])</f>
        <v>4</v>
      </c>
      <c r="B6" s="214" t="e" vm="11">
        <f>IFERROR(INDEX(LocalSpecialtiesImg[Icon], MATCH(Ascension_Flower[[#This Row],[HelperName]],LocalSpecialtiesImg[Name], 0)), "")</f>
        <v>#VALUE!</v>
      </c>
      <c r="C6" s="214" t="s">
        <v>136</v>
      </c>
      <c r="D6" s="225" t="s">
        <v>136</v>
      </c>
      <c r="E6" s="161">
        <f>SUMIF(LocalSpecialties3[Local Specialties],Ascension_Flower[[#This Row],[Specialty]],LocalSpecialties3[Need to Farm])</f>
        <v>0</v>
      </c>
      <c r="F6" s="214">
        <f>IFERROR(INDEX(LocalSpecialtiesInv[Quantity], MATCH(Ascension_Flower[[#This Row],[Specialty]], LocalSpecialtiesInv[Icon], 0)), "")</f>
        <v>0</v>
      </c>
      <c r="G6" s="162">
        <f>Ascension_Flower[[#This Row],[Flowers Needed]]-Ascension_Flower[[#This Row],[Flowers Acquired]]</f>
        <v>0</v>
      </c>
    </row>
    <row r="7" spans="1:7" ht="30" customHeight="1" x14ac:dyDescent="0.25">
      <c r="A7" s="161">
        <f>SUBTOTAL(3,$B$3:Ascension_Flower[[#This Row],[Specialty]])</f>
        <v>5</v>
      </c>
      <c r="B7" s="214" t="e" vm="595">
        <f>IFERROR(INDEX(LocalSpecialtiesImg[Icon], MATCH(Ascension_Flower[[#This Row],[HelperName]],LocalSpecialtiesImg[Name], 0)), "")</f>
        <v>#VALUE!</v>
      </c>
      <c r="C7" s="214" t="s">
        <v>149</v>
      </c>
      <c r="D7" s="225" t="s">
        <v>823</v>
      </c>
      <c r="E7" s="161">
        <f>SUMIF(LocalSpecialties3[Local Specialties],Ascension_Flower[[#This Row],[Specialty]],LocalSpecialties3[Need to Farm])</f>
        <v>60</v>
      </c>
      <c r="F7" s="214">
        <f>IFERROR(INDEX(LocalSpecialtiesInv[Quantity], MATCH(Ascension_Flower[[#This Row],[Specialty]], LocalSpecialtiesInv[Icon], 0)), "")</f>
        <v>0</v>
      </c>
      <c r="G7" s="162">
        <f>Ascension_Flower[[#This Row],[Flowers Needed]]-Ascension_Flower[[#This Row],[Flowers Acquired]]</f>
        <v>60</v>
      </c>
    </row>
    <row r="8" spans="1:7" ht="30" customHeight="1" x14ac:dyDescent="0.25">
      <c r="A8" s="161">
        <f>SUBTOTAL(3,$B$3:Ascension_Flower[[#This Row],[Specialty]])</f>
        <v>6</v>
      </c>
      <c r="B8" s="214" t="e" vm="212">
        <f>IFERROR(INDEX(LocalSpecialtiesImg[Icon], MATCH(Ascension_Flower[[#This Row],[HelperName]],LocalSpecialtiesImg[Name], 0)), "")</f>
        <v>#VALUE!</v>
      </c>
      <c r="C8" s="214" t="s">
        <v>161</v>
      </c>
      <c r="D8" s="225" t="s">
        <v>824</v>
      </c>
      <c r="E8" s="161">
        <f>SUMIF(LocalSpecialties3[Local Specialties],Ascension_Flower[[#This Row],[Specialty]],LocalSpecialties3[Need to Farm])</f>
        <v>270</v>
      </c>
      <c r="F8" s="214">
        <f>IFERROR(INDEX(LocalSpecialtiesInv[Quantity], MATCH(Ascension_Flower[[#This Row],[Specialty]], LocalSpecialtiesInv[Icon], 0)), "")</f>
        <v>0</v>
      </c>
      <c r="G8" s="162">
        <f>Ascension_Flower[[#This Row],[Flowers Needed]]-Ascension_Flower[[#This Row],[Flowers Acquired]]</f>
        <v>270</v>
      </c>
    </row>
    <row r="9" spans="1:7" ht="30" customHeight="1" x14ac:dyDescent="0.25">
      <c r="A9" s="161">
        <f>SUBTOTAL(3,$B$3:Ascension_Flower[[#This Row],[Specialty]])</f>
        <v>7</v>
      </c>
      <c r="B9" s="214" t="e" vm="363">
        <f>IFERROR(INDEX(LocalSpecialtiesImg[Icon], MATCH(Ascension_Flower[[#This Row],[HelperName]],LocalSpecialtiesImg[Name], 0)), "")</f>
        <v>#VALUE!</v>
      </c>
      <c r="C9" s="214" t="s">
        <v>175</v>
      </c>
      <c r="D9" s="225" t="s">
        <v>825</v>
      </c>
      <c r="E9" s="161">
        <f>SUMIF(LocalSpecialties3[Local Specialties],Ascension_Flower[[#This Row],[Specialty]],LocalSpecialties3[Need to Farm])</f>
        <v>330</v>
      </c>
      <c r="F9" s="214">
        <f>IFERROR(INDEX(LocalSpecialtiesInv[Quantity], MATCH(Ascension_Flower[[#This Row],[Specialty]], LocalSpecialtiesInv[Icon], 0)), "")</f>
        <v>0</v>
      </c>
      <c r="G9" s="162">
        <f>Ascension_Flower[[#This Row],[Flowers Needed]]-Ascension_Flower[[#This Row],[Flowers Acquired]]</f>
        <v>330</v>
      </c>
    </row>
    <row r="10" spans="1:7" ht="30" customHeight="1" x14ac:dyDescent="0.25">
      <c r="A10" s="161">
        <f>SUBTOTAL(3,$B$3:Ascension_Flower[[#This Row],[Specialty]])</f>
        <v>8</v>
      </c>
      <c r="B10" s="214" t="e" vm="134">
        <f>IFERROR(INDEX(LocalSpecialtiesImg[Icon], MATCH(Ascension_Flower[[#This Row],[HelperName]],LocalSpecialtiesImg[Name], 0)), "")</f>
        <v>#VALUE!</v>
      </c>
      <c r="C10" s="214" t="s">
        <v>187</v>
      </c>
      <c r="D10" s="225" t="s">
        <v>826</v>
      </c>
      <c r="E10" s="161">
        <f>SUMIF(LocalSpecialties3[Local Specialties],Ascension_Flower[[#This Row],[Specialty]],LocalSpecialties3[Need to Farm])</f>
        <v>165</v>
      </c>
      <c r="F10" s="214">
        <f>IFERROR(INDEX(LocalSpecialtiesInv[Quantity], MATCH(Ascension_Flower[[#This Row],[Specialty]], LocalSpecialtiesInv[Icon], 0)), "")</f>
        <v>0</v>
      </c>
      <c r="G10" s="162">
        <f>Ascension_Flower[[#This Row],[Flowers Needed]]-Ascension_Flower[[#This Row],[Flowers Acquired]]</f>
        <v>165</v>
      </c>
    </row>
    <row r="11" spans="1:7" ht="30" customHeight="1" x14ac:dyDescent="0.25">
      <c r="A11" s="161">
        <f>SUBTOTAL(3,$B$3:Ascension_Flower[[#This Row],[Specialty]])</f>
        <v>9</v>
      </c>
      <c r="B11" s="214" t="e" vm="433">
        <f>IFERROR(INDEX(LocalSpecialtiesImg[Icon], MATCH(Ascension_Flower[[#This Row],[HelperName]],LocalSpecialtiesImg[Name], 0)), "")</f>
        <v>#VALUE!</v>
      </c>
      <c r="C11" s="214" t="s">
        <v>197</v>
      </c>
      <c r="D11" s="225" t="s">
        <v>197</v>
      </c>
      <c r="E11" s="161">
        <f>SUMIF(LocalSpecialties3[Local Specialties],Ascension_Flower[[#This Row],[Specialty]],LocalSpecialties3[Need to Farm])</f>
        <v>165</v>
      </c>
      <c r="F11" s="214">
        <f>IFERROR(INDEX(LocalSpecialtiesInv[Quantity], MATCH(Ascension_Flower[[#This Row],[Specialty]], LocalSpecialtiesInv[Icon], 0)), "")</f>
        <v>0</v>
      </c>
      <c r="G11" s="162">
        <f>Ascension_Flower[[#This Row],[Flowers Needed]]-Ascension_Flower[[#This Row],[Flowers Acquired]]</f>
        <v>165</v>
      </c>
    </row>
    <row r="12" spans="1:7" ht="30" customHeight="1" x14ac:dyDescent="0.25">
      <c r="A12" s="161">
        <f>SUBTOTAL(3,$B$3:Ascension_Flower[[#This Row],[Specialty]])</f>
        <v>10</v>
      </c>
      <c r="B12" s="214" t="e" vm="621">
        <f>IFERROR(INDEX(LocalSpecialtiesImg[Icon], MATCH(Ascension_Flower[[#This Row],[HelperName]],LocalSpecialtiesImg[Name], 0)), "")</f>
        <v>#VALUE!</v>
      </c>
      <c r="C12" s="214" t="s">
        <v>208</v>
      </c>
      <c r="D12" s="225" t="s">
        <v>827</v>
      </c>
      <c r="E12" s="161">
        <f>SUMIF(LocalSpecialties3[Local Specialties],Ascension_Flower[[#This Row],[Specialty]],LocalSpecialties3[Need to Farm])</f>
        <v>165</v>
      </c>
      <c r="F12" s="214">
        <f>IFERROR(INDEX(LocalSpecialtiesInv[Quantity], MATCH(Ascension_Flower[[#This Row],[Specialty]], LocalSpecialtiesInv[Icon], 0)), "")</f>
        <v>0</v>
      </c>
      <c r="G12" s="162">
        <f>Ascension_Flower[[#This Row],[Flowers Needed]]-Ascension_Flower[[#This Row],[Flowers Acquired]]</f>
        <v>165</v>
      </c>
    </row>
    <row r="13" spans="1:7" ht="30" customHeight="1" x14ac:dyDescent="0.25">
      <c r="A13" s="161">
        <f>SUBTOTAL(3,$B$3:Ascension_Flower[[#This Row],[Specialty]])</f>
        <v>11</v>
      </c>
      <c r="B13" s="214" t="e" vm="579">
        <f>IFERROR(INDEX(LocalSpecialtiesImg[Icon], MATCH(Ascension_Flower[[#This Row],[HelperName]],LocalSpecialtiesImg[Name], 0)), "")</f>
        <v>#VALUE!</v>
      </c>
      <c r="C13" s="214" t="s">
        <v>218</v>
      </c>
      <c r="D13" s="225" t="s">
        <v>828</v>
      </c>
      <c r="E13" s="161">
        <f>SUMIF(LocalSpecialties3[Local Specialties],Ascension_Flower[[#This Row],[Specialty]],LocalSpecialties3[Need to Farm])</f>
        <v>165</v>
      </c>
      <c r="F13" s="214">
        <f>IFERROR(INDEX(LocalSpecialtiesInv[Quantity], MATCH(Ascension_Flower[[#This Row],[Specialty]], LocalSpecialtiesInv[Icon], 0)), "")</f>
        <v>0</v>
      </c>
      <c r="G13" s="162">
        <f>Ascension_Flower[[#This Row],[Flowers Needed]]-Ascension_Flower[[#This Row],[Flowers Acquired]]</f>
        <v>165</v>
      </c>
    </row>
    <row r="14" spans="1:7" ht="30" customHeight="1" x14ac:dyDescent="0.25">
      <c r="A14" s="161">
        <f>SUBTOTAL(3,$B$3:Ascension_Flower[[#This Row],[Specialty]])</f>
        <v>12</v>
      </c>
      <c r="B14" s="214" t="e" vm="76">
        <f>IFERROR(INDEX(LocalSpecialtiesImg[Icon], MATCH(Ascension_Flower[[#This Row],[HelperName]],LocalSpecialtiesImg[Name], 0)), "")</f>
        <v>#VALUE!</v>
      </c>
      <c r="C14" s="214" t="s">
        <v>228</v>
      </c>
      <c r="D14" s="225" t="s">
        <v>829</v>
      </c>
      <c r="E14" s="161">
        <f>SUMIF(LocalSpecialties3[Local Specialties],Ascension_Flower[[#This Row],[Specialty]],LocalSpecialties3[Need to Farm])</f>
        <v>165</v>
      </c>
      <c r="F14" s="214">
        <f>IFERROR(INDEX(LocalSpecialtiesInv[Quantity], MATCH(Ascension_Flower[[#This Row],[Specialty]], LocalSpecialtiesInv[Icon], 0)), "")</f>
        <v>0</v>
      </c>
      <c r="G14" s="162">
        <f>Ascension_Flower[[#This Row],[Flowers Needed]]-Ascension_Flower[[#This Row],[Flowers Acquired]]</f>
        <v>165</v>
      </c>
    </row>
    <row r="15" spans="1:7" ht="30" customHeight="1" x14ac:dyDescent="0.25">
      <c r="A15" s="161">
        <f>SUBTOTAL(3,$B$3:Ascension_Flower[[#This Row],[Specialty]])</f>
        <v>13</v>
      </c>
      <c r="B15" s="214" t="e" vm="624">
        <f>IFERROR(INDEX(LocalSpecialtiesImg[Icon], MATCH(Ascension_Flower[[#This Row],[HelperName]],LocalSpecialtiesImg[Name], 0)), "")</f>
        <v>#VALUE!</v>
      </c>
      <c r="C15" s="214" t="s">
        <v>240</v>
      </c>
      <c r="D15" s="225" t="s">
        <v>830</v>
      </c>
      <c r="E15" s="161">
        <f>SUMIF(LocalSpecialties3[Local Specialties],Ascension_Flower[[#This Row],[Specialty]],LocalSpecialties3[Need to Farm])</f>
        <v>165</v>
      </c>
      <c r="F15" s="214">
        <f>IFERROR(INDEX(LocalSpecialtiesInv[Quantity], MATCH(Ascension_Flower[[#This Row],[Specialty]], LocalSpecialtiesInv[Icon], 0)), "")</f>
        <v>0</v>
      </c>
      <c r="G15" s="162">
        <f>Ascension_Flower[[#This Row],[Flowers Needed]]-Ascension_Flower[[#This Row],[Flowers Acquired]]</f>
        <v>165</v>
      </c>
    </row>
    <row r="16" spans="1:7" ht="30" customHeight="1" x14ac:dyDescent="0.25">
      <c r="A16" s="161">
        <f>SUBTOTAL(3,$B$3:Ascension_Flower[[#This Row],[Specialty]])</f>
        <v>14</v>
      </c>
      <c r="B16" s="214" t="e" vm="511">
        <f>IFERROR(INDEX(LocalSpecialtiesImg[Icon], MATCH(Ascension_Flower[[#This Row],[HelperName]],LocalSpecialtiesImg[Name], 0)), "")</f>
        <v>#VALUE!</v>
      </c>
      <c r="C16" s="214" t="s">
        <v>249</v>
      </c>
      <c r="D16" s="225" t="s">
        <v>831</v>
      </c>
      <c r="E16" s="161">
        <f>SUMIF(LocalSpecialties3[Local Specialties],Ascension_Flower[[#This Row],[Specialty]],LocalSpecialties3[Need to Farm])</f>
        <v>135</v>
      </c>
      <c r="F16" s="214">
        <f>IFERROR(INDEX(LocalSpecialtiesInv[Quantity], MATCH(Ascension_Flower[[#This Row],[Specialty]], LocalSpecialtiesInv[Icon], 0)), "")</f>
        <v>0</v>
      </c>
      <c r="G16" s="162">
        <f>Ascension_Flower[[#This Row],[Flowers Needed]]-Ascension_Flower[[#This Row],[Flowers Acquired]]</f>
        <v>135</v>
      </c>
    </row>
    <row r="17" spans="1:7" ht="30" customHeight="1" x14ac:dyDescent="0.25">
      <c r="A17" s="161">
        <f>SUBTOTAL(3,$B$3:Ascension_Flower[[#This Row],[Specialty]])</f>
        <v>15</v>
      </c>
      <c r="B17" s="214" t="e" vm="116">
        <f>IFERROR(INDEX(LocalSpecialtiesImg[Icon], MATCH(Ascension_Flower[[#This Row],[HelperName]],LocalSpecialtiesImg[Name], 0)), "")</f>
        <v>#VALUE!</v>
      </c>
      <c r="C17" s="214" t="s">
        <v>259</v>
      </c>
      <c r="D17" s="225" t="s">
        <v>832</v>
      </c>
      <c r="E17" s="161">
        <f>SUMIF(LocalSpecialties3[Local Specialties],Ascension_Flower[[#This Row],[Specialty]],LocalSpecialties3[Need to Farm])</f>
        <v>0</v>
      </c>
      <c r="F17" s="214">
        <f>IFERROR(INDEX(LocalSpecialtiesInv[Quantity], MATCH(Ascension_Flower[[#This Row],[Specialty]], LocalSpecialtiesInv[Icon], 0)), "")</f>
        <v>0</v>
      </c>
      <c r="G17" s="162">
        <f>Ascension_Flower[[#This Row],[Flowers Needed]]-Ascension_Flower[[#This Row],[Flowers Acquired]]</f>
        <v>0</v>
      </c>
    </row>
    <row r="18" spans="1:7" ht="30" customHeight="1" x14ac:dyDescent="0.25">
      <c r="A18" s="161">
        <f>SUBTOTAL(3,$B$3:Ascension_Flower[[#This Row],[Specialty]])</f>
        <v>16</v>
      </c>
      <c r="B18" s="214" t="e" vm="261">
        <f>IFERROR(INDEX(LocalSpecialtiesImg[Icon], MATCH(Ascension_Flower[[#This Row],[HelperName]],LocalSpecialtiesImg[Name], 0)), "")</f>
        <v>#VALUE!</v>
      </c>
      <c r="C18" s="214" t="s">
        <v>271</v>
      </c>
      <c r="D18" s="225" t="s">
        <v>833</v>
      </c>
      <c r="E18" s="161">
        <f>SUMIF(LocalSpecialties3[Local Specialties],Ascension_Flower[[#This Row],[Specialty]],LocalSpecialties3[Need to Farm])</f>
        <v>165</v>
      </c>
      <c r="F18" s="214">
        <f>IFERROR(INDEX(LocalSpecialtiesInv[Quantity], MATCH(Ascension_Flower[[#This Row],[Specialty]], LocalSpecialtiesInv[Icon], 0)), "")</f>
        <v>0</v>
      </c>
      <c r="G18" s="162">
        <f>Ascension_Flower[[#This Row],[Flowers Needed]]-Ascension_Flower[[#This Row],[Flowers Acquired]]</f>
        <v>165</v>
      </c>
    </row>
    <row r="19" spans="1:7" ht="30" customHeight="1" x14ac:dyDescent="0.25">
      <c r="A19" s="161">
        <f>SUBTOTAL(3,$B$3:Ascension_Flower[[#This Row],[Specialty]])</f>
        <v>17</v>
      </c>
      <c r="B19" s="214" t="e" vm="96">
        <f>IFERROR(INDEX(LocalSpecialtiesImg[Icon], MATCH(Ascension_Flower[[#This Row],[HelperName]],LocalSpecialtiesImg[Name], 0)), "")</f>
        <v>#VALUE!</v>
      </c>
      <c r="C19" s="214" t="s">
        <v>281</v>
      </c>
      <c r="D19" s="225" t="s">
        <v>281</v>
      </c>
      <c r="E19" s="161">
        <f>SUMIF(LocalSpecialties3[Local Specialties],Ascension_Flower[[#This Row],[Specialty]],LocalSpecialties3[Need to Farm])</f>
        <v>0</v>
      </c>
      <c r="F19" s="214">
        <f>IFERROR(INDEX(LocalSpecialtiesInv[Quantity], MATCH(Ascension_Flower[[#This Row],[Specialty]], LocalSpecialtiesInv[Icon], 0)), "")</f>
        <v>0</v>
      </c>
      <c r="G19" s="162">
        <f>Ascension_Flower[[#This Row],[Flowers Needed]]-Ascension_Flower[[#This Row],[Flowers Acquired]]</f>
        <v>0</v>
      </c>
    </row>
    <row r="20" spans="1:7" ht="30" customHeight="1" x14ac:dyDescent="0.25">
      <c r="A20" s="161">
        <f>SUBTOTAL(3,$B$3:Ascension_Flower[[#This Row],[Specialty]])</f>
        <v>18</v>
      </c>
      <c r="B20" s="214" t="e" vm="528">
        <f>IFERROR(INDEX(LocalSpecialtiesImg[Icon], MATCH(Ascension_Flower[[#This Row],[HelperName]],LocalSpecialtiesImg[Name], 0)), "")</f>
        <v>#VALUE!</v>
      </c>
      <c r="C20" s="214" t="s">
        <v>290</v>
      </c>
      <c r="D20" s="225" t="s">
        <v>834</v>
      </c>
      <c r="E20" s="161">
        <f>SUMIF(LocalSpecialties3[Local Specialties],Ascension_Flower[[#This Row],[Specialty]],LocalSpecialties3[Need to Farm])</f>
        <v>165</v>
      </c>
      <c r="F20" s="214">
        <f>IFERROR(INDEX(LocalSpecialtiesInv[Quantity], MATCH(Ascension_Flower[[#This Row],[Specialty]], LocalSpecialtiesInv[Icon], 0)), "")</f>
        <v>0</v>
      </c>
      <c r="G20" s="162">
        <f>Ascension_Flower[[#This Row],[Flowers Needed]]-Ascension_Flower[[#This Row],[Flowers Acquired]]</f>
        <v>165</v>
      </c>
    </row>
    <row r="21" spans="1:7" ht="30" customHeight="1" x14ac:dyDescent="0.25">
      <c r="A21" s="161">
        <f>SUBTOTAL(3,$B$3:Ascension_Flower[[#This Row],[Specialty]])</f>
        <v>19</v>
      </c>
      <c r="B21" s="214" t="e" vm="240">
        <f>IFERROR(INDEX(LocalSpecialtiesImg[Icon], MATCH(Ascension_Flower[[#This Row],[HelperName]],LocalSpecialtiesImg[Name], 0)), "")</f>
        <v>#VALUE!</v>
      </c>
      <c r="C21" s="214" t="s">
        <v>301</v>
      </c>
      <c r="D21" s="225" t="s">
        <v>835</v>
      </c>
      <c r="E21" s="161">
        <f>SUMIF(LocalSpecialties3[Local Specialties],Ascension_Flower[[#This Row],[Specialty]],LocalSpecialties3[Need to Farm])</f>
        <v>0</v>
      </c>
      <c r="F21" s="214">
        <f>IFERROR(INDEX(LocalSpecialtiesInv[Quantity], MATCH(Ascension_Flower[[#This Row],[Specialty]], LocalSpecialtiesInv[Icon], 0)), "")</f>
        <v>0</v>
      </c>
      <c r="G21" s="162">
        <f>Ascension_Flower[[#This Row],[Flowers Needed]]-Ascension_Flower[[#This Row],[Flowers Acquired]]</f>
        <v>0</v>
      </c>
    </row>
    <row r="22" spans="1:7" ht="30" customHeight="1" x14ac:dyDescent="0.25">
      <c r="A22" s="161">
        <f>SUBTOTAL(3,$B$3:Ascension_Flower[[#This Row],[Specialty]])</f>
        <v>20</v>
      </c>
      <c r="B22" s="214" t="e" vm="250">
        <f>IFERROR(INDEX(LocalSpecialtiesImg[Icon], MATCH(Ascension_Flower[[#This Row],[HelperName]],LocalSpecialtiesImg[Name], 0)), "")</f>
        <v>#VALUE!</v>
      </c>
      <c r="C22" s="214" t="s">
        <v>311</v>
      </c>
      <c r="D22" s="225" t="s">
        <v>836</v>
      </c>
      <c r="E22" s="161">
        <f>SUMIF(LocalSpecialties3[Local Specialties],Ascension_Flower[[#This Row],[Specialty]],LocalSpecialties3[Need to Farm])</f>
        <v>165</v>
      </c>
      <c r="F22" s="214">
        <f>IFERROR(INDEX(LocalSpecialtiesInv[Quantity], MATCH(Ascension_Flower[[#This Row],[Specialty]], LocalSpecialtiesInv[Icon], 0)), "")</f>
        <v>0</v>
      </c>
      <c r="G22" s="162">
        <f>Ascension_Flower[[#This Row],[Flowers Needed]]-Ascension_Flower[[#This Row],[Flowers Acquired]]</f>
        <v>165</v>
      </c>
    </row>
    <row r="23" spans="1:7" ht="30" customHeight="1" x14ac:dyDescent="0.25">
      <c r="A23" s="161">
        <f>SUBTOTAL(3,$B$3:Ascension_Flower[[#This Row],[Specialty]])</f>
        <v>21</v>
      </c>
      <c r="B23" s="214" t="e" vm="495">
        <f>IFERROR(INDEX(LocalSpecialtiesImg[Icon], MATCH(Ascension_Flower[[#This Row],[HelperName]],LocalSpecialtiesImg[Name], 0)), "")</f>
        <v>#VALUE!</v>
      </c>
      <c r="C23" s="214" t="s">
        <v>321</v>
      </c>
      <c r="D23" s="225" t="s">
        <v>837</v>
      </c>
      <c r="E23" s="161">
        <f>SUMIF(LocalSpecialties3[Local Specialties],Ascension_Flower[[#This Row],[Specialty]],LocalSpecialties3[Need to Farm])</f>
        <v>195</v>
      </c>
      <c r="F23" s="214">
        <f>IFERROR(INDEX(LocalSpecialtiesInv[Quantity], MATCH(Ascension_Flower[[#This Row],[Specialty]], LocalSpecialtiesInv[Icon], 0)), "")</f>
        <v>0</v>
      </c>
      <c r="G23" s="162">
        <f>Ascension_Flower[[#This Row],[Flowers Needed]]-Ascension_Flower[[#This Row],[Flowers Acquired]]</f>
        <v>195</v>
      </c>
    </row>
    <row r="24" spans="1:7" ht="30" customHeight="1" x14ac:dyDescent="0.25">
      <c r="A24" s="161">
        <f>SUBTOTAL(3,$B$3:Ascension_Flower[[#This Row],[Specialty]])</f>
        <v>22</v>
      </c>
      <c r="B24" s="214" t="e" vm="489">
        <f>IFERROR(INDEX(LocalSpecialtiesImg[Icon], MATCH(Ascension_Flower[[#This Row],[HelperName]],LocalSpecialtiesImg[Name], 0)), "")</f>
        <v>#VALUE!</v>
      </c>
      <c r="C24" s="214" t="s">
        <v>332</v>
      </c>
      <c r="D24" s="225" t="s">
        <v>332</v>
      </c>
      <c r="E24" s="161">
        <f>SUMIF(LocalSpecialties3[Local Specialties],Ascension_Flower[[#This Row],[Specialty]],LocalSpecialties3[Need to Farm])</f>
        <v>135</v>
      </c>
      <c r="F24" s="214">
        <f>IFERROR(INDEX(LocalSpecialtiesInv[Quantity], MATCH(Ascension_Flower[[#This Row],[Specialty]], LocalSpecialtiesInv[Icon], 0)), "")</f>
        <v>0</v>
      </c>
      <c r="G24" s="162">
        <f>Ascension_Flower[[#This Row],[Flowers Needed]]-Ascension_Flower[[#This Row],[Flowers Acquired]]</f>
        <v>135</v>
      </c>
    </row>
    <row r="25" spans="1:7" ht="30" customHeight="1" x14ac:dyDescent="0.25">
      <c r="A25" s="161">
        <f>SUBTOTAL(3,$B$3:Ascension_Flower[[#This Row],[Specialty]])</f>
        <v>23</v>
      </c>
      <c r="B25" s="214" t="e" vm="272">
        <f>IFERROR(INDEX(LocalSpecialtiesImg[Icon], MATCH(Ascension_Flower[[#This Row],[HelperName]],LocalSpecialtiesImg[Name], 0)), "")</f>
        <v>#VALUE!</v>
      </c>
      <c r="C25" s="214" t="s">
        <v>342</v>
      </c>
      <c r="D25" s="225" t="s">
        <v>342</v>
      </c>
      <c r="E25" s="161">
        <f>SUMIF(LocalSpecialties3[Local Specialties],Ascension_Flower[[#This Row],[Specialty]],LocalSpecialties3[Need to Farm])</f>
        <v>0</v>
      </c>
      <c r="F25" s="214">
        <f>IFERROR(INDEX(LocalSpecialtiesInv[Quantity], MATCH(Ascension_Flower[[#This Row],[Specialty]], LocalSpecialtiesInv[Icon], 0)), "")</f>
        <v>0</v>
      </c>
      <c r="G25" s="162">
        <f>Ascension_Flower[[#This Row],[Flowers Needed]]-Ascension_Flower[[#This Row],[Flowers Acquired]]</f>
        <v>0</v>
      </c>
    </row>
    <row r="26" spans="1:7" ht="30" customHeight="1" x14ac:dyDescent="0.25">
      <c r="A26" s="161">
        <f>SUBTOTAL(3,$B$3:Ascension_Flower[[#This Row],[Specialty]])</f>
        <v>24</v>
      </c>
      <c r="B26" s="214" t="e" vm="561">
        <f>IFERROR(INDEX(LocalSpecialtiesImg[Icon], MATCH(Ascension_Flower[[#This Row],[HelperName]],LocalSpecialtiesImg[Name], 0)), "")</f>
        <v>#VALUE!</v>
      </c>
      <c r="C26" s="214" t="s">
        <v>352</v>
      </c>
      <c r="D26" s="225" t="s">
        <v>838</v>
      </c>
      <c r="E26" s="161">
        <f>SUMIF(LocalSpecialties3[Local Specialties],Ascension_Flower[[#This Row],[Specialty]],LocalSpecialties3[Need to Farm])</f>
        <v>0</v>
      </c>
      <c r="F26" s="214">
        <f>IFERROR(INDEX(LocalSpecialtiesInv[Quantity], MATCH(Ascension_Flower[[#This Row],[Specialty]], LocalSpecialtiesInv[Icon], 0)), "")</f>
        <v>0</v>
      </c>
      <c r="G26" s="162">
        <f>Ascension_Flower[[#This Row],[Flowers Needed]]-Ascension_Flower[[#This Row],[Flowers Acquired]]</f>
        <v>0</v>
      </c>
    </row>
    <row r="27" spans="1:7" ht="30" customHeight="1" x14ac:dyDescent="0.25">
      <c r="A27" s="161">
        <f>SUBTOTAL(3,$B$3:Ascension_Flower[[#This Row],[Specialty]])</f>
        <v>25</v>
      </c>
      <c r="B27" s="214" t="e" vm="419">
        <f>IFERROR(INDEX(LocalSpecialtiesImg[Icon], MATCH(Ascension_Flower[[#This Row],[HelperName]],LocalSpecialtiesImg[Name], 0)), "")</f>
        <v>#VALUE!</v>
      </c>
      <c r="C27" s="214" t="s">
        <v>364</v>
      </c>
      <c r="D27" s="225" t="s">
        <v>364</v>
      </c>
      <c r="E27" s="161">
        <f>SUMIF(LocalSpecialties3[Local Specialties],Ascension_Flower[[#This Row],[Specialty]],LocalSpecialties3[Need to Farm])</f>
        <v>0</v>
      </c>
      <c r="F27" s="214">
        <f>IFERROR(INDEX(LocalSpecialtiesInv[Quantity], MATCH(Ascension_Flower[[#This Row],[Specialty]], LocalSpecialtiesInv[Icon], 0)), "")</f>
        <v>0</v>
      </c>
      <c r="G27" s="162">
        <f>Ascension_Flower[[#This Row],[Flowers Needed]]-Ascension_Flower[[#This Row],[Flowers Acquired]]</f>
        <v>0</v>
      </c>
    </row>
    <row r="28" spans="1:7" ht="30" customHeight="1" x14ac:dyDescent="0.25">
      <c r="A28" s="161">
        <f>SUBTOTAL(3,$B$3:Ascension_Flower[[#This Row],[Specialty]])</f>
        <v>26</v>
      </c>
      <c r="B28" s="214" t="e" vm="443">
        <f>IFERROR(INDEX(LocalSpecialtiesImg[Icon], MATCH(Ascension_Flower[[#This Row],[HelperName]],LocalSpecialtiesImg[Name], 0)), "")</f>
        <v>#VALUE!</v>
      </c>
      <c r="C28" s="214" t="s">
        <v>373</v>
      </c>
      <c r="D28" s="225" t="s">
        <v>839</v>
      </c>
      <c r="E28" s="161">
        <f>SUMIF(LocalSpecialties3[Local Specialties],Ascension_Flower[[#This Row],[Specialty]],LocalSpecialties3[Need to Farm])</f>
        <v>0</v>
      </c>
      <c r="F28" s="214">
        <f>IFERROR(INDEX(LocalSpecialtiesInv[Quantity], MATCH(Ascension_Flower[[#This Row],[Specialty]], LocalSpecialtiesInv[Icon], 0)), "")</f>
        <v>0</v>
      </c>
      <c r="G28" s="162">
        <f>Ascension_Flower[[#This Row],[Flowers Needed]]-Ascension_Flower[[#This Row],[Flowers Acquired]]</f>
        <v>0</v>
      </c>
    </row>
    <row r="29" spans="1:7" ht="30" customHeight="1" x14ac:dyDescent="0.25">
      <c r="A29" s="161">
        <f>SUBTOTAL(3,$B$3:Ascension_Flower[[#This Row],[Specialty]])</f>
        <v>27</v>
      </c>
      <c r="B29" s="214" t="e" vm="520">
        <f>IFERROR(INDEX(LocalSpecialtiesImg[Icon], MATCH(Ascension_Flower[[#This Row],[HelperName]],LocalSpecialtiesImg[Name], 0)), "")</f>
        <v>#VALUE!</v>
      </c>
      <c r="C29" s="214" t="s">
        <v>383</v>
      </c>
      <c r="D29" s="225" t="s">
        <v>840</v>
      </c>
      <c r="E29" s="161">
        <f>SUMIF(LocalSpecialties3[Local Specialties],Ascension_Flower[[#This Row],[Specialty]],LocalSpecialties3[Need to Farm])</f>
        <v>165</v>
      </c>
      <c r="F29" s="214">
        <f>IFERROR(INDEX(LocalSpecialtiesInv[Quantity], MATCH(Ascension_Flower[[#This Row],[Specialty]], LocalSpecialtiesInv[Icon], 0)), "")</f>
        <v>0</v>
      </c>
      <c r="G29" s="162">
        <f>Ascension_Flower[[#This Row],[Flowers Needed]]-Ascension_Flower[[#This Row],[Flowers Acquired]]</f>
        <v>165</v>
      </c>
    </row>
    <row r="30" spans="1:7" ht="30" customHeight="1" x14ac:dyDescent="0.25">
      <c r="A30" s="161">
        <f>SUBTOTAL(3,$B$3:Ascension_Flower[[#This Row],[Specialty]])</f>
        <v>28</v>
      </c>
      <c r="B30" s="214" t="e" vm="384">
        <f>IFERROR(INDEX(LocalSpecialtiesImg[Icon], MATCH(Ascension_Flower[[#This Row],[HelperName]],LocalSpecialtiesImg[Name], 0)), "")</f>
        <v>#VALUE!</v>
      </c>
      <c r="C30" s="214" t="s">
        <v>395</v>
      </c>
      <c r="D30" s="225" t="s">
        <v>841</v>
      </c>
      <c r="E30" s="161">
        <f>SUMIF(LocalSpecialties3[Local Specialties],Ascension_Flower[[#This Row],[Specialty]],LocalSpecialties3[Need to Farm])</f>
        <v>165</v>
      </c>
      <c r="F30" s="214">
        <f>IFERROR(INDEX(LocalSpecialtiesInv[Quantity], MATCH(Ascension_Flower[[#This Row],[Specialty]], LocalSpecialtiesInv[Icon], 0)), "")</f>
        <v>0</v>
      </c>
      <c r="G30" s="162">
        <f>Ascension_Flower[[#This Row],[Flowers Needed]]-Ascension_Flower[[#This Row],[Flowers Acquired]]</f>
        <v>165</v>
      </c>
    </row>
    <row r="31" spans="1:7" ht="30" customHeight="1" x14ac:dyDescent="0.25">
      <c r="A31" s="161">
        <f>SUBTOTAL(3,$B$3:Ascension_Flower[[#This Row],[Specialty]])</f>
        <v>29</v>
      </c>
      <c r="B31" s="214" t="e" vm="184">
        <f>IFERROR(INDEX(LocalSpecialtiesImg[Icon], MATCH(Ascension_Flower[[#This Row],[HelperName]],LocalSpecialtiesImg[Name], 0)), "")</f>
        <v>#VALUE!</v>
      </c>
      <c r="C31" s="214" t="s">
        <v>405</v>
      </c>
      <c r="D31" s="225" t="s">
        <v>842</v>
      </c>
      <c r="E31" s="161">
        <f>SUMIF(LocalSpecialties3[Local Specialties],Ascension_Flower[[#This Row],[Specialty]],LocalSpecialties3[Need to Farm])</f>
        <v>0</v>
      </c>
      <c r="F31" s="214">
        <f>IFERROR(INDEX(LocalSpecialtiesInv[Quantity], MATCH(Ascension_Flower[[#This Row],[Specialty]], LocalSpecialtiesInv[Icon], 0)), "")</f>
        <v>0</v>
      </c>
      <c r="G31" s="162">
        <f>Ascension_Flower[[#This Row],[Flowers Needed]]-Ascension_Flower[[#This Row],[Flowers Acquired]]</f>
        <v>0</v>
      </c>
    </row>
    <row r="32" spans="1:7" ht="30" customHeight="1" x14ac:dyDescent="0.25">
      <c r="A32" s="161">
        <f>SUBTOTAL(3,$B$3:Ascension_Flower[[#This Row],[Specialty]])</f>
        <v>30</v>
      </c>
      <c r="B32" s="214" t="e" vm="33">
        <f>IFERROR(INDEX(LocalSpecialtiesImg[Icon], MATCH(Ascension_Flower[[#This Row],[HelperName]],LocalSpecialtiesImg[Name], 0)), "")</f>
        <v>#VALUE!</v>
      </c>
      <c r="C32" s="214" t="s">
        <v>413</v>
      </c>
      <c r="D32" s="225" t="s">
        <v>843</v>
      </c>
      <c r="E32" s="161">
        <f>SUMIF(LocalSpecialties3[Local Specialties],Ascension_Flower[[#This Row],[Specialty]],LocalSpecialties3[Need to Farm])</f>
        <v>168</v>
      </c>
      <c r="F32" s="214">
        <f>IFERROR(INDEX(LocalSpecialtiesInv[Quantity], MATCH(Ascension_Flower[[#This Row],[Specialty]], LocalSpecialtiesInv[Icon], 0)), "")</f>
        <v>0</v>
      </c>
      <c r="G32" s="162">
        <f>Ascension_Flower[[#This Row],[Flowers Needed]]-Ascension_Flower[[#This Row],[Flowers Acquired]]</f>
        <v>168</v>
      </c>
    </row>
    <row r="33" spans="1:7" ht="30" customHeight="1" x14ac:dyDescent="0.25">
      <c r="A33" s="161">
        <f>SUBTOTAL(3,$B$3:Ascension_Flower[[#This Row],[Specialty]])</f>
        <v>31</v>
      </c>
      <c r="B33" s="214" t="e" vm="425">
        <f>IFERROR(INDEX(LocalSpecialtiesImg[Icon], MATCH(Ascension_Flower[[#This Row],[HelperName]],LocalSpecialtiesImg[Name], 0)), "")</f>
        <v>#VALUE!</v>
      </c>
      <c r="C33" s="214" t="s">
        <v>422</v>
      </c>
      <c r="D33" s="225" t="s">
        <v>844</v>
      </c>
      <c r="E33" s="161">
        <f>SUMIF(LocalSpecialties3[Local Specialties],Ascension_Flower[[#This Row],[Specialty]],LocalSpecialties3[Need to Farm])</f>
        <v>165</v>
      </c>
      <c r="F33" s="214">
        <f>IFERROR(INDEX(LocalSpecialtiesInv[Quantity], MATCH(Ascension_Flower[[#This Row],[Specialty]], LocalSpecialtiesInv[Icon], 0)), "")</f>
        <v>0</v>
      </c>
      <c r="G33" s="162">
        <f>Ascension_Flower[[#This Row],[Flowers Needed]]-Ascension_Flower[[#This Row],[Flowers Acquired]]</f>
        <v>165</v>
      </c>
    </row>
    <row r="34" spans="1:7" ht="30" customHeight="1" x14ac:dyDescent="0.25">
      <c r="A34" s="161">
        <f>SUBTOTAL(3,$B$3:Ascension_Flower[[#This Row],[Specialty]])</f>
        <v>32</v>
      </c>
      <c r="B34" s="214" t="e" vm="608">
        <f>IFERROR(INDEX(LocalSpecialtiesImg[Icon], MATCH(Ascension_Flower[[#This Row],[HelperName]],LocalSpecialtiesImg[Name], 0)), "")</f>
        <v>#VALUE!</v>
      </c>
      <c r="C34" s="214" t="s">
        <v>429</v>
      </c>
      <c r="D34" s="225" t="s">
        <v>429</v>
      </c>
      <c r="E34" s="161">
        <f>SUMIF(LocalSpecialties3[Local Specialties],Ascension_Flower[[#This Row],[Specialty]],LocalSpecialties3[Need to Farm])</f>
        <v>0</v>
      </c>
      <c r="F34" s="214">
        <f>IFERROR(INDEX(LocalSpecialtiesInv[Quantity], MATCH(Ascension_Flower[[#This Row],[Specialty]], LocalSpecialtiesInv[Icon], 0)), "")</f>
        <v>0</v>
      </c>
      <c r="G34" s="162">
        <f>Ascension_Flower[[#This Row],[Flowers Needed]]-Ascension_Flower[[#This Row],[Flowers Acquired]]</f>
        <v>0</v>
      </c>
    </row>
    <row r="35" spans="1:7" ht="30" customHeight="1" x14ac:dyDescent="0.25">
      <c r="A35" s="161">
        <f>SUBTOTAL(3,$B$3:Ascension_Flower[[#This Row],[Specialty]])</f>
        <v>33</v>
      </c>
      <c r="B35" s="214" t="e" vm="152">
        <f>IFERROR(INDEX(LocalSpecialtiesImg[Icon], MATCH(Ascension_Flower[[#This Row],[HelperName]],LocalSpecialtiesImg[Name], 0)), "")</f>
        <v>#VALUE!</v>
      </c>
      <c r="C35" s="214" t="s">
        <v>436</v>
      </c>
      <c r="D35" s="225" t="s">
        <v>845</v>
      </c>
      <c r="E35" s="161">
        <f>SUMIF(LocalSpecialties3[Local Specialties],Ascension_Flower[[#This Row],[Specialty]],LocalSpecialties3[Need to Farm])</f>
        <v>0</v>
      </c>
      <c r="F35" s="214">
        <f>IFERROR(INDEX(LocalSpecialtiesInv[Quantity], MATCH(Ascension_Flower[[#This Row],[Specialty]], LocalSpecialtiesInv[Icon], 0)), "")</f>
        <v>0</v>
      </c>
      <c r="G35" s="162">
        <f>Ascension_Flower[[#This Row],[Flowers Needed]]-Ascension_Flower[[#This Row],[Flowers Acquired]]</f>
        <v>0</v>
      </c>
    </row>
    <row r="36" spans="1:7" ht="30" customHeight="1" x14ac:dyDescent="0.25">
      <c r="A36" s="161">
        <f>SUBTOTAL(3,$B$3:Ascension_Flower[[#This Row],[Specialty]])</f>
        <v>34</v>
      </c>
      <c r="B36" s="214" t="e" vm="350">
        <f>IFERROR(INDEX(LocalSpecialtiesImg[Icon], MATCH(Ascension_Flower[[#This Row],[HelperName]],LocalSpecialtiesImg[Name], 0)), "")</f>
        <v>#VALUE!</v>
      </c>
      <c r="C36" s="214" t="s">
        <v>443</v>
      </c>
      <c r="D36" s="225" t="s">
        <v>846</v>
      </c>
      <c r="E36" s="161">
        <f>SUMIF(LocalSpecialties3[Local Specialties],Ascension_Flower[[#This Row],[Specialty]],LocalSpecialties3[Need to Farm])</f>
        <v>0</v>
      </c>
      <c r="F36" s="214">
        <f>IFERROR(INDEX(LocalSpecialtiesInv[Quantity], MATCH(Ascension_Flower[[#This Row],[Specialty]], LocalSpecialtiesInv[Icon], 0)), "")</f>
        <v>0</v>
      </c>
      <c r="G36" s="162">
        <f>Ascension_Flower[[#This Row],[Flowers Needed]]-Ascension_Flower[[#This Row],[Flowers Acquired]]</f>
        <v>0</v>
      </c>
    </row>
    <row r="37" spans="1:7" ht="30" customHeight="1" x14ac:dyDescent="0.25">
      <c r="A37" s="161">
        <f>SUBTOTAL(3,$B$3:Ascension_Flower[[#This Row],[Specialty]])</f>
        <v>35</v>
      </c>
      <c r="B37" s="214" t="e" vm="374">
        <f>IFERROR(INDEX(LocalSpecialtiesImg[Icon], MATCH(Ascension_Flower[[#This Row],[HelperName]],LocalSpecialtiesImg[Name], 0)), "")</f>
        <v>#VALUE!</v>
      </c>
      <c r="C37" s="214" t="s">
        <v>449</v>
      </c>
      <c r="D37" s="225" t="s">
        <v>847</v>
      </c>
      <c r="E37" s="161">
        <f>SUMIF(LocalSpecialties3[Local Specialties],Ascension_Flower[[#This Row],[Specialty]],LocalSpecialties3[Need to Farm])</f>
        <v>300</v>
      </c>
      <c r="F37" s="214">
        <f>IFERROR(INDEX(LocalSpecialtiesInv[Quantity], MATCH(Ascension_Flower[[#This Row],[Specialty]], LocalSpecialtiesInv[Icon], 0)), "")</f>
        <v>0</v>
      </c>
      <c r="G37" s="162">
        <f>Ascension_Flower[[#This Row],[Flowers Needed]]-Ascension_Flower[[#This Row],[Flowers Acquired]]</f>
        <v>300</v>
      </c>
    </row>
    <row r="38" spans="1:7" ht="30" customHeight="1" x14ac:dyDescent="0.25">
      <c r="A38" s="161">
        <f>SUBTOTAL(3,$B$3:Ascension_Flower[[#This Row],[Specialty]])</f>
        <v>36</v>
      </c>
      <c r="B38" s="214" t="e" vm="532">
        <f>IFERROR(INDEX(LocalSpecialtiesImg[Icon], MATCH(Ascension_Flower[[#This Row],[HelperName]],LocalSpecialtiesImg[Name], 0)), "")</f>
        <v>#VALUE!</v>
      </c>
      <c r="C38" s="214" t="s">
        <v>455</v>
      </c>
      <c r="D38" s="225" t="s">
        <v>848</v>
      </c>
      <c r="E38" s="161">
        <f>SUMIF(LocalSpecialties3[Local Specialties],Ascension_Flower[[#This Row],[Specialty]],LocalSpecialties3[Need to Farm])</f>
        <v>0</v>
      </c>
      <c r="F38" s="214">
        <f>IFERROR(INDEX(LocalSpecialtiesInv[Quantity], MATCH(Ascension_Flower[[#This Row],[Specialty]], LocalSpecialtiesInv[Icon], 0)), "")</f>
        <v>0</v>
      </c>
      <c r="G38" s="162">
        <f>Ascension_Flower[[#This Row],[Flowers Needed]]-Ascension_Flower[[#This Row],[Flowers Acquired]]</f>
        <v>0</v>
      </c>
    </row>
    <row r="39" spans="1:7" ht="30" customHeight="1" x14ac:dyDescent="0.25">
      <c r="A39" s="161">
        <f>SUBTOTAL(3,$B$3:Ascension_Flower[[#This Row],[Specialty]])</f>
        <v>37</v>
      </c>
      <c r="B39" s="214" t="e" vm="457">
        <f>IFERROR(INDEX(LocalSpecialtiesImg[Icon], MATCH(Ascension_Flower[[#This Row],[HelperName]],LocalSpecialtiesImg[Name], 0)), "")</f>
        <v>#VALUE!</v>
      </c>
      <c r="C39" s="214" t="s">
        <v>461</v>
      </c>
      <c r="D39" s="225" t="s">
        <v>461</v>
      </c>
      <c r="E39" s="161">
        <f>SUMIF(LocalSpecialties3[Local Specialties],Ascension_Flower[[#This Row],[Specialty]],LocalSpecialties3[Need to Farm])</f>
        <v>165</v>
      </c>
      <c r="F39" s="214">
        <f>IFERROR(INDEX(LocalSpecialtiesInv[Quantity], MATCH(Ascension_Flower[[#This Row],[Specialty]], LocalSpecialtiesInv[Icon], 0)), "")</f>
        <v>0</v>
      </c>
      <c r="G39" s="162">
        <f>Ascension_Flower[[#This Row],[Flowers Needed]]-Ascension_Flower[[#This Row],[Flowers Acquired]]</f>
        <v>165</v>
      </c>
    </row>
    <row r="40" spans="1:7" ht="30" customHeight="1" x14ac:dyDescent="0.25">
      <c r="A40" s="161">
        <f>SUBTOTAL(3,$B$3:Ascension_Flower[[#This Row],[Specialty]])</f>
        <v>38</v>
      </c>
      <c r="B40" s="214" t="e" vm="591">
        <f>IFERROR(INDEX(LocalSpecialtiesImg[Icon], MATCH(Ascension_Flower[[#This Row],[HelperName]],LocalSpecialtiesImg[Name], 0)), "")</f>
        <v>#VALUE!</v>
      </c>
      <c r="C40" s="214" t="s">
        <v>467</v>
      </c>
      <c r="D40" s="225" t="s">
        <v>849</v>
      </c>
      <c r="E40" s="161">
        <f>SUMIF(LocalSpecialties3[Local Specialties],Ascension_Flower[[#This Row],[Specialty]],LocalSpecialties3[Need to Farm])</f>
        <v>0</v>
      </c>
      <c r="F40" s="214">
        <f>IFERROR(INDEX(LocalSpecialtiesInv[Quantity], MATCH(Ascension_Flower[[#This Row],[Specialty]], LocalSpecialtiesInv[Icon], 0)), "")</f>
        <v>0</v>
      </c>
      <c r="G40" s="162">
        <f>Ascension_Flower[[#This Row],[Flowers Needed]]-Ascension_Flower[[#This Row],[Flowers Acquired]]</f>
        <v>0</v>
      </c>
    </row>
    <row r="41" spans="1:7" ht="30" customHeight="1" x14ac:dyDescent="0.25">
      <c r="A41" s="161">
        <f>SUBTOTAL(3,$B$3:Ascension_Flower[[#This Row],[Specialty]])</f>
        <v>39</v>
      </c>
      <c r="B41" s="214" t="e" vm="451">
        <f>IFERROR(INDEX(LocalSpecialtiesImg[Icon], MATCH(Ascension_Flower[[#This Row],[HelperName]],LocalSpecialtiesImg[Name], 0)), "")</f>
        <v>#VALUE!</v>
      </c>
      <c r="C41" s="214" t="s">
        <v>41</v>
      </c>
      <c r="D41" s="225" t="s">
        <v>41</v>
      </c>
      <c r="E41" s="161">
        <f>SUMIF(LocalSpecialties3[Local Specialties],Ascension_Flower[[#This Row],[Specialty]],LocalSpecialties3[Need to Farm])</f>
        <v>0</v>
      </c>
      <c r="F41" s="214">
        <f>IFERROR(INDEX(LocalSpecialtiesInv[Quantity], MATCH(Ascension_Flower[[#This Row],[Specialty]], LocalSpecialtiesInv[Icon], 0)), "")</f>
        <v>0</v>
      </c>
      <c r="G41" s="162">
        <f>Ascension_Flower[[#This Row],[Flowers Needed]]-Ascension_Flower[[#This Row],[Flowers Acquired]]</f>
        <v>0</v>
      </c>
    </row>
    <row r="42" spans="1:7" ht="30" customHeight="1" x14ac:dyDescent="0.25">
      <c r="A42" s="161">
        <f>SUBTOTAL(3,$B$3:Ascension_Flower[[#This Row],[Specialty]])</f>
        <v>40</v>
      </c>
      <c r="B42" s="214" t="e" vm="537">
        <f>IFERROR(INDEX(LocalSpecialtiesImg[Icon], MATCH(Ascension_Flower[[#This Row],[HelperName]],LocalSpecialtiesImg[Name], 0)), "")</f>
        <v>#VALUE!</v>
      </c>
      <c r="C42" s="214" t="s">
        <v>477</v>
      </c>
      <c r="D42" s="225" t="s">
        <v>477</v>
      </c>
      <c r="E42" s="161">
        <f>SUMIF(LocalSpecialties3[Local Specialties],Ascension_Flower[[#This Row],[Specialty]],LocalSpecialties3[Need to Farm])</f>
        <v>270</v>
      </c>
      <c r="F42" s="214">
        <f>IFERROR(INDEX(LocalSpecialtiesInv[Quantity], MATCH(Ascension_Flower[[#This Row],[Specialty]], LocalSpecialtiesInv[Icon], 0)), "")</f>
        <v>0</v>
      </c>
      <c r="G42" s="162">
        <f>Ascension_Flower[[#This Row],[Flowers Needed]]-Ascension_Flower[[#This Row],[Flowers Acquired]]</f>
        <v>270</v>
      </c>
    </row>
    <row r="43" spans="1:7" ht="30" customHeight="1" x14ac:dyDescent="0.25">
      <c r="A43" s="161">
        <f>SUBTOTAL(3,$B$3:Ascension_Flower[[#This Row],[Specialty]])</f>
        <v>41</v>
      </c>
      <c r="B43" s="214" t="e" vm="282">
        <f>IFERROR(INDEX(LocalSpecialtiesImg[Icon], MATCH(Ascension_Flower[[#This Row],[HelperName]],LocalSpecialtiesImg[Name], 0)), "")</f>
        <v>#VALUE!</v>
      </c>
      <c r="C43" s="214" t="s">
        <v>482</v>
      </c>
      <c r="D43" s="225" t="s">
        <v>482</v>
      </c>
      <c r="E43" s="161">
        <f>SUMIF(LocalSpecialties3[Local Specialties],Ascension_Flower[[#This Row],[Specialty]],LocalSpecialties3[Need to Farm])</f>
        <v>225</v>
      </c>
      <c r="F43" s="214">
        <f>IFERROR(INDEX(LocalSpecialtiesInv[Quantity], MATCH(Ascension_Flower[[#This Row],[Specialty]], LocalSpecialtiesInv[Icon], 0)), "")</f>
        <v>0</v>
      </c>
      <c r="G43" s="162">
        <f>Ascension_Flower[[#This Row],[Flowers Needed]]-Ascension_Flower[[#This Row],[Flowers Acquired]]</f>
        <v>225</v>
      </c>
    </row>
    <row r="44" spans="1:7" ht="30" customHeight="1" x14ac:dyDescent="0.25">
      <c r="A44" s="161">
        <f>SUBTOTAL(3,$B$3:Ascension_Flower[[#This Row],[Specialty]])</f>
        <v>42</v>
      </c>
      <c r="B44" s="214" t="e" vm="55">
        <f>IFERROR(INDEX(LocalSpecialtiesImg[Icon], MATCH(Ascension_Flower[[#This Row],[HelperName]],LocalSpecialtiesImg[Name], 0)), "")</f>
        <v>#VALUE!</v>
      </c>
      <c r="C44" s="214" t="s">
        <v>487</v>
      </c>
      <c r="D44" s="225" t="s">
        <v>850</v>
      </c>
      <c r="E44" s="161">
        <f>SUMIF(LocalSpecialties3[Local Specialties],Ascension_Flower[[#This Row],[Specialty]],LocalSpecialties3[Need to Farm])</f>
        <v>0</v>
      </c>
      <c r="F44" s="214">
        <f>IFERROR(INDEX(LocalSpecialtiesInv[Quantity], MATCH(Ascension_Flower[[#This Row],[Specialty]], LocalSpecialtiesInv[Icon], 0)), "")</f>
        <v>0</v>
      </c>
      <c r="G44" s="162">
        <f>Ascension_Flower[[#This Row],[Flowers Needed]]-Ascension_Flower[[#This Row],[Flowers Acquired]]</f>
        <v>0</v>
      </c>
    </row>
    <row r="45" spans="1:7" ht="30" customHeight="1" thickBot="1" x14ac:dyDescent="0.3">
      <c r="A45" s="161">
        <f>SUBTOTAL(3,$B$3:Ascension_Flower[[#This Row],[Specialty]])</f>
        <v>43</v>
      </c>
      <c r="B45" s="214" t="e" vm="541">
        <f>IFERROR(INDEX(LocalSpecialtiesImg[Icon], MATCH(Ascension_Flower[[#This Row],[HelperName]],LocalSpecialtiesImg[Name], 0)), "")</f>
        <v>#VALUE!</v>
      </c>
      <c r="C45" s="214" t="s">
        <v>492</v>
      </c>
      <c r="D45" s="225" t="s">
        <v>492</v>
      </c>
      <c r="E45" s="163">
        <f>SUMIF(LocalSpecialties3[Local Specialties],Ascension_Flower[[#This Row],[Specialty]],LocalSpecialties3[Need to Farm])</f>
        <v>195</v>
      </c>
      <c r="F45" s="164">
        <f>IFERROR(INDEX(LocalSpecialtiesInv[Quantity], MATCH(Ascension_Flower[[#This Row],[Specialty]], LocalSpecialtiesInv[Icon], 0)), "")</f>
        <v>0</v>
      </c>
      <c r="G45" s="165">
        <f>Ascension_Flower[[#This Row],[Flowers Needed]]-Ascension_Flower[[#This Row],[Flowers Acquired]]</f>
        <v>195</v>
      </c>
    </row>
    <row r="46" spans="1:7" ht="15.75" thickBot="1" x14ac:dyDescent="0.3">
      <c r="A46" s="175" t="s">
        <v>758</v>
      </c>
      <c r="B46" s="176"/>
      <c r="C46" s="176"/>
      <c r="D46" s="176"/>
      <c r="E46" s="175">
        <f>SUBTOTAL(109,Ascension_Flower[Flowers Needed])</f>
        <v>4913</v>
      </c>
      <c r="F46" s="176">
        <f>SUBTOTAL(109,Ascension_Flower[Flowers Acquired])</f>
        <v>0</v>
      </c>
      <c r="G46" s="177">
        <f>SUMIF(G3:G45,"&gt;=0")</f>
        <v>4913</v>
      </c>
    </row>
  </sheetData>
  <mergeCells count="1">
    <mergeCell ref="A1:G1"/>
  </mergeCells>
  <phoneticPr fontId="4" type="noConversion"/>
  <dataValidations count="1">
    <dataValidation type="whole" operator="greaterThanOrEqual" allowBlank="1" showInputMessage="1" showErrorMessage="1" errorTitle="Numeric Values Only!" error="Please put numeric values only." sqref="F3:F45" xr:uid="{EBF81312-3930-4672-AA47-C1B54462CE25}">
      <formula1>0</formula1>
    </dataValidation>
  </dataValidations>
  <hyperlinks>
    <hyperlink ref="D9" r:id="rId1" location="/map/2?center=5962.23,1682.92&amp;zoom=-1.00&amp;shown_types=211" xr:uid="{B2DADD27-4238-49CB-9AB1-06B5135FDA40}"/>
    <hyperlink ref="D37" r:id="rId2" location="/map/2?center=190.50,82.00&amp;zoom=-1.00&amp;shown_types=33" xr:uid="{CBAE9875-8B3A-46C0-97FD-1F77FADBB9C4}"/>
    <hyperlink ref="D8" r:id="rId3" location="/map/2?center=1802.30,-1305.93&amp;zoom=-2.00&amp;shown_types=40" xr:uid="{65EFFDB6-D5D5-48EB-A53F-68C5038BB396}"/>
    <hyperlink ref="D43" r:id="rId4" location="/map/2?center=1802.30,-1305.93&amp;zoom=-2.00&amp;shown_types=34" xr:uid="{0D4B15F5-891D-4434-A43A-CEDF71083093}"/>
    <hyperlink ref="D22" r:id="rId5" location="/map/2?center=3176.01,-3713.00&amp;zoom=-1.00&amp;shown_types=400" xr:uid="{ABCD0D6D-697B-4CD5-912D-99FF40F0E2E4}"/>
    <hyperlink ref="D33" r:id="rId6" location="/map/2?center=6056.61,32.66&amp;zoom=0.50&amp;shown_types=227" xr:uid="{9D986944-CCE3-4E01-9EEA-1DDE638C327F}"/>
    <hyperlink ref="D30" r:id="rId7" location="/map/2?center=3046.24,-4006.00&amp;zoom=-2.00&amp;shown_types=402" xr:uid="{A5020A6B-DA5F-4A14-AF77-B4618F42B5FB}"/>
    <hyperlink ref="D14" r:id="rId8" location="/map/2?center=3781.66,-6018.13&amp;zoom=-2.00&amp;shown_types=431" xr:uid="{15768414-2F7A-495C-AEEB-AB68A7E5889A}"/>
    <hyperlink ref="D20" r:id="rId9" location="/map/2?center=1563.70,-6866.07&amp;zoom=-1.00&amp;shown_types=469" xr:uid="{B80C3D06-FD00-419C-A99E-9796A346F398}"/>
    <hyperlink ref="D39" r:id="rId10" location="/map/2?center=2061.98,-290.97&amp;zoom=-1.00&amp;shown_types=78" xr:uid="{6B7262AE-3F18-45D0-8CFC-FBACDBC91388}"/>
    <hyperlink ref="D10" r:id="rId11" location="/map/2?center=181.20,-172.96&amp;zoom=-1.00&amp;shown_types=37" xr:uid="{8382FBE0-9EDD-4BDA-82B3-007D19687740}"/>
    <hyperlink ref="D45" r:id="rId12" location="/map/2?center=254.44,-423.51&amp;zoom=1.00&amp;shown_types=41" xr:uid="{9ABFE417-6429-4F5C-9D46-F7BF12C60335}"/>
    <hyperlink ref="D16" r:id="rId13" location="/map/2?center=2975.68,-4528.15&amp;zoom=-2.00&amp;shown_types=401" xr:uid="{EDD14987-AD08-4DB4-9A80-C60366E2766A}"/>
    <hyperlink ref="D5" r:id="rId14" location="/map/2?center=217.97,-233.00&amp;zoom=-1.00&amp;shown_types=31" xr:uid="{E4DBDFE1-D569-457E-ABC0-C43A3DD0E978}"/>
    <hyperlink ref="D29" r:id="rId15" location="/map/2?center=-1286.77,-5306.16&amp;zoom=-2.00&amp;shown_types=501" xr:uid="{29B57709-6B5C-4020-8358-D7322F21CE20}"/>
    <hyperlink ref="D24" r:id="rId16" location="/map/2?center=6150.26,2478.02&amp;zoom=-2.00&amp;shown_types=196" xr:uid="{48D3C0F8-26CE-4B82-A7A6-D60F5B239F1D}"/>
    <hyperlink ref="D18" r:id="rId17" location="/map/2?center=-694.03,-5230.68&amp;zoom=-1.50&amp;shown_types=502" xr:uid="{986C7726-4D27-4876-AA83-319D6DE49DD8}"/>
    <hyperlink ref="D11" r:id="rId18" location="/map/2?center=5816.98,1761.90&amp;zoom=-0.50&amp;shown_types=198" xr:uid="{458DE732-84CE-4C75-832D-065BC5A02A81}"/>
    <hyperlink ref="D7" r:id="rId19" location="/map/2?center=176.71,-3225.43&amp;zoom=-1.50&amp;shown_types=566" xr:uid="{769ACDA5-8941-43F2-801B-EFE8ED12C426}"/>
    <hyperlink ref="D12" r:id="rId20" location="/map/2?center=8522.93,1825.50&amp;zoom=0.00&amp;shown_types=266" xr:uid="{1992B751-4D09-4736-83BE-83895D39939D}"/>
    <hyperlink ref="D23" r:id="rId21" location="/map/2?center=1765.60,-1854.00&amp;zoom=-2.00&amp;shown_types=42" xr:uid="{5E981DAF-9218-4AE1-B52A-5B324847DB4A}"/>
    <hyperlink ref="D41" r:id="rId22" location="/map/2?center=1631.84,-7113.01&amp;zoom=-1.00&amp;shown_types=468" xr:uid="{3A9E850C-4AAA-4E34-8F15-378C668046D2}"/>
    <hyperlink ref="D4" r:id="rId23" location="/map/2?center=-837.74,-5465.99&amp;zoom=-2.00&amp;shown_types=500" xr:uid="{A4F0F00E-0743-4DF3-BB35-C4A7BD2D16A4}"/>
    <hyperlink ref="D15" r:id="rId24" location="/map/2?center=1417.93,-2029.03&amp;zoom=-1.00&amp;shown_types=30" xr:uid="{8ECEDC10-2279-4D66-8F48-4FC8C666EF7C}"/>
    <hyperlink ref="D26" r:id="rId25" location="/map/2?center=325.99,-98.50&amp;zoom=0.00&amp;shown_types=39" xr:uid="{2E84AE05-68B3-4D64-807A-F425E4B0FC94}"/>
    <hyperlink ref="D3" r:id="rId26" location="/map/2?center=6942.89,3456.49&amp;zoom=0.00&amp;shown_types=228" xr:uid="{07385574-BD8C-4C4B-8938-FB8A770C18B8}"/>
    <hyperlink ref="D6" r:id="rId27" location="/map/2?center=-184.75,970.37&amp;zoom=2.00&amp;shown_types=35" xr:uid="{A922599C-3FDB-4724-8822-4A33B5FE902E}"/>
    <hyperlink ref="D31" r:id="rId28" location="/map/2?center=5009.16,3652.48&amp;zoom=0.00&amp;shown_types=199" xr:uid="{C1F2BAAE-9112-4D46-9C4E-68E7CFD4D02F}"/>
    <hyperlink ref="D19" r:id="rId29" location="/map/2?center=-2351.95,-5220.51&amp;zoom=0.00&amp;shown_types=545" xr:uid="{DEFF1D5E-7A2E-4029-9C56-E0E7E24DEC9D}"/>
    <hyperlink ref="D17" r:id="rId30" location="/map/2?center=-1351.89,-4091.52&amp;zoom=0.00&amp;shown_types=548" xr:uid="{75BF463F-B2B1-4B09-AB73-5377B1506AD0}"/>
    <hyperlink ref="D32" r:id="rId31" location="/map/2?center=3210.97,-6031.50&amp;zoom=0.00&amp;shown_types=462" xr:uid="{469FC01A-5A0A-49DD-8D5F-271D4F34783A}"/>
    <hyperlink ref="D40" r:id="rId32" location="/map/2?center=-2377.01,-5216.50&amp;zoom=0.00&amp;shown_types=546" xr:uid="{B0917D66-6BB3-47B8-8918-8438ACC468CF}"/>
    <hyperlink ref="D21" r:id="rId33" location="/map/2?center=6081.86,2638.01&amp;zoom=-2.00&amp;shown_types=197" xr:uid="{CC87F482-3FA9-4BD3-9847-1477F2301870}"/>
    <hyperlink ref="D28" r:id="rId34" location="/map/2?center=-1353.91,-4902.00&amp;zoom=-2.00&amp;shown_types=503" xr:uid="{A178BB9D-29E0-4D14-BD88-1C86708823EF}"/>
    <hyperlink ref="D38" r:id="rId35" location="/map/2?center=-333.52,-4380.75&amp;zoom=1.00&amp;shown_types=549" xr:uid="{DDBCF1D8-A1AF-43FF-989D-60DBEF43E88D}"/>
    <hyperlink ref="D34" r:id="rId36" location="/map/2?center=4468.01,-5707.00&amp;zoom=-1.00&amp;shown_types=430" xr:uid="{BED53B90-E262-4953-A913-93F582DCE90D}"/>
    <hyperlink ref="D13" r:id="rId37" location="/map/2?center=1422.17,-2042.00&amp;zoom=-2.00&amp;shown_types=38" xr:uid="{530CEE86-1FB8-4931-8BC3-5AB47E8EAE5A}"/>
    <hyperlink ref="D25" r:id="rId38" location="/map/2?center=2834.12,-4086.99&amp;zoom=-1.00&amp;shown_types=413" xr:uid="{B2F9406E-0160-4319-BB77-D808E41B39F5}"/>
    <hyperlink ref="D44" r:id="rId39" location="/map/2?center=151.00,-228.77&amp;zoom=-1.00&amp;shown_types=43,28" xr:uid="{7F02922F-0CC9-49D7-8881-4833341F3052}"/>
    <hyperlink ref="D27" r:id="rId40" location="/map/2?center=1358.00,-2145.97&amp;zoom=-2.00&amp;shown_types=32" xr:uid="{8FCB006A-0981-4916-8BDE-BC58E89151A6}"/>
    <hyperlink ref="D42" r:id="rId41" location="/map/2?center=-536.91,541.50&amp;zoom=0.00&amp;shown_types=29" xr:uid="{B671FEF7-0915-422A-868C-D0EE00B434DA}"/>
    <hyperlink ref="D35" r:id="rId42" location="/map/2?center=6033.81,1008.00&amp;zoom=-3.00&amp;shown_types=185" xr:uid="{B9BA11E3-9D49-454B-ACC5-126C73D49231}"/>
    <hyperlink ref="D36" r:id="rId43" location="/map/2?center=1537.42,-1388.12&amp;zoom=-2.00&amp;shown_types=36" xr:uid="{D0B2E912-CF9D-4BCA-BA2B-DE0D737DA267}"/>
  </hyperlinks>
  <pageMargins left="0.7" right="0.7" top="0.75" bottom="0.75" header="0.3" footer="0.3"/>
  <tableParts count="1">
    <tablePart r:id="rId4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2B92E-0CFB-4946-BAB5-075B2D3AD151}">
  <sheetPr codeName="Sheet12">
    <tabColor rgb="FFFFC000"/>
  </sheetPr>
  <dimension ref="A1:Z22"/>
  <sheetViews>
    <sheetView zoomScaleNormal="100" workbookViewId="0">
      <selection activeCell="E5" sqref="E5"/>
    </sheetView>
    <sheetView workbookViewId="1">
      <selection sqref="A1:Z1"/>
    </sheetView>
  </sheetViews>
  <sheetFormatPr defaultRowHeight="15" x14ac:dyDescent="0.25"/>
  <cols>
    <col min="1" max="1" width="9.140625" style="2" customWidth="1"/>
    <col min="2" max="2" width="25.28515625" style="2" hidden="1" customWidth="1"/>
    <col min="3" max="26" width="5.7109375" style="2" customWidth="1"/>
    <col min="27" max="16384" width="9.140625" style="2"/>
  </cols>
  <sheetData>
    <row r="1" spans="1:26" ht="34.5" thickBot="1" x14ac:dyDescent="0.3">
      <c r="A1" s="205" t="s">
        <v>699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7"/>
    </row>
    <row r="2" spans="1:26" x14ac:dyDescent="0.25">
      <c r="A2" s="158"/>
      <c r="B2" s="160"/>
      <c r="C2" s="208" t="s">
        <v>713</v>
      </c>
      <c r="D2" s="209"/>
      <c r="E2" s="209"/>
      <c r="F2" s="209"/>
      <c r="G2" s="209"/>
      <c r="H2" s="209"/>
      <c r="I2" s="209"/>
      <c r="J2" s="210"/>
      <c r="K2" s="208" t="s">
        <v>818</v>
      </c>
      <c r="L2" s="209"/>
      <c r="M2" s="209"/>
      <c r="N2" s="209"/>
      <c r="O2" s="209"/>
      <c r="P2" s="209"/>
      <c r="Q2" s="209"/>
      <c r="R2" s="210"/>
      <c r="S2" s="208" t="s">
        <v>819</v>
      </c>
      <c r="T2" s="209"/>
      <c r="U2" s="209"/>
      <c r="V2" s="209"/>
      <c r="W2" s="209"/>
      <c r="X2" s="209"/>
      <c r="Y2" s="209"/>
      <c r="Z2" s="210"/>
    </row>
    <row r="3" spans="1:26" s="13" customFormat="1" ht="15" customHeight="1" thickBot="1" x14ac:dyDescent="0.3">
      <c r="A3" s="183" t="s">
        <v>704</v>
      </c>
      <c r="B3" s="184" t="s">
        <v>817</v>
      </c>
      <c r="C3" s="180" t="s">
        <v>56</v>
      </c>
      <c r="D3" s="181" t="s">
        <v>713</v>
      </c>
      <c r="E3" s="181" t="s">
        <v>55</v>
      </c>
      <c r="F3" s="181" t="s">
        <v>884</v>
      </c>
      <c r="G3" s="181" t="s">
        <v>54</v>
      </c>
      <c r="H3" s="181" t="s">
        <v>885</v>
      </c>
      <c r="I3" s="181" t="s">
        <v>53</v>
      </c>
      <c r="J3" s="182" t="s">
        <v>886</v>
      </c>
      <c r="K3" s="180" t="s">
        <v>905</v>
      </c>
      <c r="L3" s="181" t="s">
        <v>887</v>
      </c>
      <c r="M3" s="181" t="s">
        <v>906</v>
      </c>
      <c r="N3" s="181" t="s">
        <v>907</v>
      </c>
      <c r="O3" s="181" t="s">
        <v>908</v>
      </c>
      <c r="P3" s="181" t="s">
        <v>909</v>
      </c>
      <c r="Q3" s="181" t="s">
        <v>910</v>
      </c>
      <c r="R3" s="182" t="s">
        <v>911</v>
      </c>
      <c r="S3" s="180" t="s">
        <v>912</v>
      </c>
      <c r="T3" s="181" t="s">
        <v>888</v>
      </c>
      <c r="U3" s="181" t="s">
        <v>913</v>
      </c>
      <c r="V3" s="181" t="s">
        <v>914</v>
      </c>
      <c r="W3" s="181" t="s">
        <v>915</v>
      </c>
      <c r="X3" s="181" t="s">
        <v>916</v>
      </c>
      <c r="Y3" s="181" t="s">
        <v>917</v>
      </c>
      <c r="Z3" s="182" t="s">
        <v>918</v>
      </c>
    </row>
    <row r="4" spans="1:26" ht="30" customHeight="1" x14ac:dyDescent="0.25">
      <c r="A4" s="161">
        <f>SUBTOTAL(3,$B$4:Ascension_Stones4447[[#This Row],[Stone Name]])</f>
        <v>1</v>
      </c>
      <c r="B4" s="162" t="s">
        <v>889</v>
      </c>
      <c r="C4" s="161" t="e" vm="291">
        <f>IFERROR(INDEX(GemsImg[Icon], MATCH(_xlfn.CONCAT(Ascension_Stones4447[[#This Row],[Stone Name]],"Gemstone"), GemsImg[Name], 0)), "")</f>
        <v>#VALUE!</v>
      </c>
      <c r="D4" s="2">
        <f>SUMIF(Gemstone[Stone Type],Ascension_Stones4447[[#This Row],[Gemstone]],Gemstone[Gemstone])</f>
        <v>0</v>
      </c>
      <c r="E4" s="2" t="e" vm="734">
        <f>IFERROR(INDEX(GemsImg[Icon], MATCH(_xlfn.CONCAT(Ascension_Stones4447[[#This Row],[Stone Name]],"Chunk"), GemsImg[Name], 0)), "")</f>
        <v>#VALUE!</v>
      </c>
      <c r="F4" s="2">
        <f>SUMIF(Gemstone[Stone Type],Ascension_Stones4447[[#This Row],[Gemstone]],Gemstone[Chunk])</f>
        <v>0</v>
      </c>
      <c r="G4" s="2" t="e" vm="729">
        <f>IFERROR(INDEX(GemsImg[Icon], MATCH(_xlfn.CONCAT(Ascension_Stones4447[[#This Row],[Stone Name]],"Fragment"), GemsImg[Name], 0)), "")</f>
        <v>#VALUE!</v>
      </c>
      <c r="H4" s="2">
        <f>SUMIF(Gemstone[Stone Type],Ascension_Stones4447[[#This Row],[Gemstone]],Gemstone[Fragment])</f>
        <v>0</v>
      </c>
      <c r="I4" s="2" t="e" vm="723">
        <f>IFERROR(INDEX(GemsImg[Icon], MATCH(_xlfn.CONCAT(Ascension_Stones4447[[#This Row],[Stone Name]],"Silver"), GemsImg[Name], 0)), "")</f>
        <v>#VALUE!</v>
      </c>
      <c r="J4" s="162">
        <f>SUMIF(Gemstone[Stone Type],Ascension_Stones4447[[#This Row],[Gemstone]],Gemstone[Silver])</f>
        <v>0</v>
      </c>
      <c r="K4" s="161" t="e" vm="291">
        <f>IFERROR(INDEX(GemsImg[Icon], MATCH(_xlfn.CONCAT(Ascension_Stones4447[[#This Row],[Stone Name]],"Gemstone"), GemsImg[Name], 0)), "")</f>
        <v>#VALUE!</v>
      </c>
      <c r="L4" s="2">
        <f>IFERROR(INDEX(GemsInv[Quantity], MATCH(Ascension_Stones4447[[#This Row],[Gemstone2]], GemsInv[Icon], 0)), "")</f>
        <v>0</v>
      </c>
      <c r="M4" s="2" t="e" vm="734">
        <f>IFERROR(INDEX(GemsImg[Icon], MATCH(_xlfn.CONCAT(Ascension_Stones4447[[#This Row],[Stone Name]],"Chunk"), GemsImg[Name], 0)), "")</f>
        <v>#VALUE!</v>
      </c>
      <c r="N4" s="2">
        <f>IFERROR(INDEX(GemsInv[Quantity], MATCH(Ascension_Stones4447[[#This Row],[Chunk6]], GemsInv[Icon], 0)), "")</f>
        <v>0</v>
      </c>
      <c r="O4" s="2" t="e" vm="729">
        <f>IFERROR(INDEX(GemsImg[Icon], MATCH(_xlfn.CONCAT(Ascension_Stones4447[[#This Row],[Stone Name]],"Fragment"), GemsImg[Name], 0)), "")</f>
        <v>#VALUE!</v>
      </c>
      <c r="P4" s="2">
        <f>IFERROR(INDEX(GemsInv[Quantity], MATCH(Ascension_Stones4447[[#This Row],[Fragment11]], GemsInv[Icon], 0)), "")</f>
        <v>0</v>
      </c>
      <c r="Q4" s="2" t="e" vm="723">
        <f>IFERROR(INDEX(GemsImg[Icon], MATCH(_xlfn.CONCAT(Ascension_Stones4447[[#This Row],[Stone Name]],"Silver"), GemsImg[Name], 0)), "")</f>
        <v>#VALUE!</v>
      </c>
      <c r="R4" s="162">
        <f>IFERROR(INDEX(GemsInv[Quantity], MATCH(Ascension_Stones4447[[#This Row],[Silver13]], GemsInv[Icon], 0)), "")</f>
        <v>0</v>
      </c>
      <c r="S4" s="161" t="e" vm="291">
        <f>IFERROR(INDEX(GemsImg[Icon], MATCH(_xlfn.CONCAT(Ascension_Stones4447[[#This Row],[Stone Name]],"Gemstone"), GemsImg[Name], 0)), "")</f>
        <v>#VALUE!</v>
      </c>
      <c r="T4" s="2">
        <f>Ascension_Stones4447[[#This Row],[Need to Farm]]-Ascension_Stones4447[[#This Row],[Need to Farm5]]</f>
        <v>0</v>
      </c>
      <c r="U4" s="2" t="e" vm="734">
        <f>IFERROR(INDEX(GemsImg[Icon], MATCH(_xlfn.CONCAT(Ascension_Stones4447[[#This Row],[Stone Name]],"Chunk"), GemsImg[Name], 0)), "")</f>
        <v>#VALUE!</v>
      </c>
      <c r="V4" s="2">
        <f>Ascension_Stones4447[[#This Row],[Need to Farm2]]-Ascension_Stones4447[[#This Row],[Need to Farm210]]</f>
        <v>0</v>
      </c>
      <c r="W4" s="2" t="e" vm="729">
        <f>IFERROR(INDEX(GemsImg[Icon], MATCH(_xlfn.CONCAT(Ascension_Stones4447[[#This Row],[Stone Name]],"Fragment"), GemsImg[Name], 0)), "")</f>
        <v>#VALUE!</v>
      </c>
      <c r="X4" s="2">
        <f>Ascension_Stones4447[[#This Row],[Need to Farm3]]-Ascension_Stones4447[[#This Row],[Need to Farm312]]</f>
        <v>0</v>
      </c>
      <c r="Y4" s="2" t="e" vm="723">
        <f>IFERROR(INDEX(GemsImg[Icon], MATCH(_xlfn.CONCAT(Ascension_Stones4447[[#This Row],[Stone Name]],"Silver"), GemsImg[Name], 0)), "")</f>
        <v>#VALUE!</v>
      </c>
      <c r="Z4" s="162">
        <f>Ascension_Stones4447[[#This Row],[Need to Farm4]]-Ascension_Stones4447[[#This Row],[Need to Farm414]]</f>
        <v>0</v>
      </c>
    </row>
    <row r="5" spans="1:26" ht="30" customHeight="1" x14ac:dyDescent="0.25">
      <c r="A5" s="161">
        <f>SUBTOTAL(3,$B$4:Ascension_Stones4447[[#This Row],[Stone Name]])</f>
        <v>2</v>
      </c>
      <c r="B5" s="162" t="s">
        <v>890</v>
      </c>
      <c r="C5" s="161" t="e" vm="56">
        <f>IFERROR(INDEX(GemsImg[Icon], MATCH(_xlfn.CONCAT(Ascension_Stones4447[[#This Row],[Stone Name]],"Gemstone"), GemsImg[Name], 0)), "")</f>
        <v>#VALUE!</v>
      </c>
      <c r="D5" s="2">
        <f>SUMIF(Gemstone[Stone Type],Ascension_Stones4447[[#This Row],[Gemstone]],Gemstone[Gemstone])</f>
        <v>36</v>
      </c>
      <c r="E5" s="2" t="e" vm="749">
        <f>IFERROR(INDEX(GemsImg[Icon], MATCH(_xlfn.CONCAT(Ascension_Stones4447[[#This Row],[Stone Name]],"Chunk"), GemsImg[Name], 0)), "")</f>
        <v>#VALUE!</v>
      </c>
      <c r="F5" s="2">
        <f>SUMIF(Gemstone[Stone Type],Ascension_Stones4447[[#This Row],[Gemstone]],Gemstone[Chunk])</f>
        <v>45</v>
      </c>
      <c r="G5" s="2" t="e" vm="745">
        <f>IFERROR(INDEX(GemsImg[Icon], MATCH(_xlfn.CONCAT(Ascension_Stones4447[[#This Row],[Stone Name]],"Fragment"), GemsImg[Name], 0)), "")</f>
        <v>#VALUE!</v>
      </c>
      <c r="H5" s="2">
        <f>SUMIF(Gemstone[Stone Type],Ascension_Stones4447[[#This Row],[Gemstone]],Gemstone[Fragment])</f>
        <v>36</v>
      </c>
      <c r="I5" s="2" t="e" vm="742">
        <f>IFERROR(INDEX(GemsImg[Icon], MATCH(_xlfn.CONCAT(Ascension_Stones4447[[#This Row],[Stone Name]],"Silver"), GemsImg[Name], 0)), "")</f>
        <v>#VALUE!</v>
      </c>
      <c r="J5" s="162">
        <f>SUMIF(Gemstone[Stone Type],Ascension_Stones4447[[#This Row],[Gemstone]],Gemstone[Silver])</f>
        <v>0</v>
      </c>
      <c r="K5" s="161" t="e" vm="56">
        <f>IFERROR(INDEX(GemsImg[Icon], MATCH(_xlfn.CONCAT(Ascension_Stones4447[[#This Row],[Stone Name]],"Gemstone"), GemsImg[Name], 0)), "")</f>
        <v>#VALUE!</v>
      </c>
      <c r="L5" s="2">
        <f>IFERROR(INDEX(GemsInv[Quantity], MATCH(Ascension_Stones4447[[#This Row],[Gemstone2]], GemsInv[Icon], 0)), "")</f>
        <v>0</v>
      </c>
      <c r="M5" s="2" t="e" vm="749">
        <f>IFERROR(INDEX(GemsImg[Icon], MATCH(_xlfn.CONCAT(Ascension_Stones4447[[#This Row],[Stone Name]],"Chunk"), GemsImg[Name], 0)), "")</f>
        <v>#VALUE!</v>
      </c>
      <c r="N5" s="2">
        <f>IFERROR(INDEX(GemsInv[Quantity], MATCH(Ascension_Stones4447[[#This Row],[Chunk6]], GemsInv[Icon], 0)), "")</f>
        <v>0</v>
      </c>
      <c r="O5" s="2" t="e" vm="745">
        <f>IFERROR(INDEX(GemsImg[Icon], MATCH(_xlfn.CONCAT(Ascension_Stones4447[[#This Row],[Stone Name]],"Fragment"), GemsImg[Name], 0)), "")</f>
        <v>#VALUE!</v>
      </c>
      <c r="P5" s="2">
        <f>IFERROR(INDEX(GemsInv[Quantity], MATCH(Ascension_Stones4447[[#This Row],[Fragment11]], GemsInv[Icon], 0)), "")</f>
        <v>0</v>
      </c>
      <c r="Q5" s="2" t="e" vm="742">
        <f>IFERROR(INDEX(GemsImg[Icon], MATCH(_xlfn.CONCAT(Ascension_Stones4447[[#This Row],[Stone Name]],"Silver"), GemsImg[Name], 0)), "")</f>
        <v>#VALUE!</v>
      </c>
      <c r="R5" s="162">
        <f>IFERROR(INDEX(GemsInv[Quantity], MATCH(Ascension_Stones4447[[#This Row],[Silver13]], GemsInv[Icon], 0)), "")</f>
        <v>0</v>
      </c>
      <c r="S5" s="161" t="e" vm="56">
        <f>IFERROR(INDEX(GemsImg[Icon], MATCH(_xlfn.CONCAT(Ascension_Stones4447[[#This Row],[Stone Name]],"Gemstone"), GemsImg[Name], 0)), "")</f>
        <v>#VALUE!</v>
      </c>
      <c r="T5" s="2">
        <f>Ascension_Stones4447[[#This Row],[Need to Farm]]-Ascension_Stones4447[[#This Row],[Need to Farm5]]</f>
        <v>36</v>
      </c>
      <c r="U5" s="2" t="e" vm="749">
        <f>IFERROR(INDEX(GemsImg[Icon], MATCH(_xlfn.CONCAT(Ascension_Stones4447[[#This Row],[Stone Name]],"Chunk"), GemsImg[Name], 0)), "")</f>
        <v>#VALUE!</v>
      </c>
      <c r="V5" s="2">
        <f>Ascension_Stones4447[[#This Row],[Need to Farm2]]-Ascension_Stones4447[[#This Row],[Need to Farm210]]</f>
        <v>45</v>
      </c>
      <c r="W5" s="2" t="e" vm="745">
        <f>IFERROR(INDEX(GemsImg[Icon], MATCH(_xlfn.CONCAT(Ascension_Stones4447[[#This Row],[Stone Name]],"Fragment"), GemsImg[Name], 0)), "")</f>
        <v>#VALUE!</v>
      </c>
      <c r="X5" s="2">
        <f>Ascension_Stones4447[[#This Row],[Need to Farm3]]-Ascension_Stones4447[[#This Row],[Need to Farm312]]</f>
        <v>36</v>
      </c>
      <c r="Y5" s="2" t="e" vm="742">
        <f>IFERROR(INDEX(GemsImg[Icon], MATCH(_xlfn.CONCAT(Ascension_Stones4447[[#This Row],[Stone Name]],"Silver"), GemsImg[Name], 0)), "")</f>
        <v>#VALUE!</v>
      </c>
      <c r="Z5" s="162">
        <f>Ascension_Stones4447[[#This Row],[Need to Farm4]]-Ascension_Stones4447[[#This Row],[Need to Farm414]]</f>
        <v>0</v>
      </c>
    </row>
    <row r="6" spans="1:26" ht="30" customHeight="1" x14ac:dyDescent="0.25">
      <c r="A6" s="161">
        <f>SUBTOTAL(3,$B$4:Ascension_Stones4447[[#This Row],[Stone Name]])</f>
        <v>3</v>
      </c>
      <c r="B6" s="162" t="s">
        <v>891</v>
      </c>
      <c r="C6" s="161" t="e" vm="117">
        <f>IFERROR(INDEX(GemsImg[Icon], MATCH(_xlfn.CONCAT(Ascension_Stones4447[[#This Row],[Stone Name]],"Gemstone"), GemsImg[Name], 0)), "")</f>
        <v>#VALUE!</v>
      </c>
      <c r="D6" s="2">
        <f>SUMIF(Gemstone[Stone Type],Ascension_Stones4447[[#This Row],[Gemstone]],Gemstone[Gemstone])</f>
        <v>6</v>
      </c>
      <c r="E6" s="2" t="e" vm="763">
        <f>IFERROR(INDEX(GemsImg[Icon], MATCH(_xlfn.CONCAT(Ascension_Stones4447[[#This Row],[Stone Name]],"Chunk"), GemsImg[Name], 0)), "")</f>
        <v>#VALUE!</v>
      </c>
      <c r="F6" s="2">
        <f>SUMIF(Gemstone[Stone Type],Ascension_Stones4447[[#This Row],[Gemstone]],Gemstone[Chunk])</f>
        <v>9</v>
      </c>
      <c r="G6" s="2" t="e" vm="759">
        <f>IFERROR(INDEX(GemsImg[Icon], MATCH(_xlfn.CONCAT(Ascension_Stones4447[[#This Row],[Stone Name]],"Fragment"), GemsImg[Name], 0)), "")</f>
        <v>#VALUE!</v>
      </c>
      <c r="H6" s="2">
        <f>SUMIF(Gemstone[Stone Type],Ascension_Stones4447[[#This Row],[Gemstone]],Gemstone[Fragment])</f>
        <v>9</v>
      </c>
      <c r="I6" s="2" t="e" vm="755">
        <f>IFERROR(INDEX(GemsImg[Icon], MATCH(_xlfn.CONCAT(Ascension_Stones4447[[#This Row],[Stone Name]],"Silver"), GemsImg[Name], 0)), "")</f>
        <v>#VALUE!</v>
      </c>
      <c r="J6" s="162">
        <f>SUMIF(Gemstone[Stone Type],Ascension_Stones4447[[#This Row],[Gemstone]],Gemstone[Silver])</f>
        <v>0</v>
      </c>
      <c r="K6" s="161" t="e" vm="117">
        <f>IFERROR(INDEX(GemsImg[Icon], MATCH(_xlfn.CONCAT(Ascension_Stones4447[[#This Row],[Stone Name]],"Gemstone"), GemsImg[Name], 0)), "")</f>
        <v>#VALUE!</v>
      </c>
      <c r="L6" s="2">
        <f>IFERROR(INDEX(GemsInv[Quantity], MATCH(Ascension_Stones4447[[#This Row],[Gemstone2]], GemsInv[Icon], 0)), "")</f>
        <v>0</v>
      </c>
      <c r="M6" s="2" t="e" vm="763">
        <f>IFERROR(INDEX(GemsImg[Icon], MATCH(_xlfn.CONCAT(Ascension_Stones4447[[#This Row],[Stone Name]],"Chunk"), GemsImg[Name], 0)), "")</f>
        <v>#VALUE!</v>
      </c>
      <c r="N6" s="2">
        <f>IFERROR(INDEX(GemsInv[Quantity], MATCH(Ascension_Stones4447[[#This Row],[Chunk6]], GemsInv[Icon], 0)), "")</f>
        <v>0</v>
      </c>
      <c r="O6" s="2" t="e" vm="759">
        <f>IFERROR(INDEX(GemsImg[Icon], MATCH(_xlfn.CONCAT(Ascension_Stones4447[[#This Row],[Stone Name]],"Fragment"), GemsImg[Name], 0)), "")</f>
        <v>#VALUE!</v>
      </c>
      <c r="P6" s="2">
        <f>IFERROR(INDEX(GemsInv[Quantity], MATCH(Ascension_Stones4447[[#This Row],[Fragment11]], GemsInv[Icon], 0)), "")</f>
        <v>0</v>
      </c>
      <c r="Q6" s="2" t="e" vm="755">
        <f>IFERROR(INDEX(GemsImg[Icon], MATCH(_xlfn.CONCAT(Ascension_Stones4447[[#This Row],[Stone Name]],"Silver"), GemsImg[Name], 0)), "")</f>
        <v>#VALUE!</v>
      </c>
      <c r="R6" s="162">
        <f>IFERROR(INDEX(GemsInv[Quantity], MATCH(Ascension_Stones4447[[#This Row],[Silver13]], GemsInv[Icon], 0)), "")</f>
        <v>0</v>
      </c>
      <c r="S6" s="161" t="e" vm="117">
        <f>IFERROR(INDEX(GemsImg[Icon], MATCH(_xlfn.CONCAT(Ascension_Stones4447[[#This Row],[Stone Name]],"Gemstone"), GemsImg[Name], 0)), "")</f>
        <v>#VALUE!</v>
      </c>
      <c r="T6" s="2">
        <f>Ascension_Stones4447[[#This Row],[Need to Farm]]-Ascension_Stones4447[[#This Row],[Need to Farm5]]</f>
        <v>6</v>
      </c>
      <c r="U6" s="2" t="e" vm="763">
        <f>IFERROR(INDEX(GemsImg[Icon], MATCH(_xlfn.CONCAT(Ascension_Stones4447[[#This Row],[Stone Name]],"Chunk"), GemsImg[Name], 0)), "")</f>
        <v>#VALUE!</v>
      </c>
      <c r="V6" s="2">
        <f>Ascension_Stones4447[[#This Row],[Need to Farm2]]-Ascension_Stones4447[[#This Row],[Need to Farm210]]</f>
        <v>9</v>
      </c>
      <c r="W6" s="2" t="e" vm="759">
        <f>IFERROR(INDEX(GemsImg[Icon], MATCH(_xlfn.CONCAT(Ascension_Stones4447[[#This Row],[Stone Name]],"Fragment"), GemsImg[Name], 0)), "")</f>
        <v>#VALUE!</v>
      </c>
      <c r="X6" s="2">
        <f>Ascension_Stones4447[[#This Row],[Need to Farm3]]-Ascension_Stones4447[[#This Row],[Need to Farm312]]</f>
        <v>9</v>
      </c>
      <c r="Y6" s="2" t="e" vm="755">
        <f>IFERROR(INDEX(GemsImg[Icon], MATCH(_xlfn.CONCAT(Ascension_Stones4447[[#This Row],[Stone Name]],"Silver"), GemsImg[Name], 0)), "")</f>
        <v>#VALUE!</v>
      </c>
      <c r="Z6" s="162">
        <f>Ascension_Stones4447[[#This Row],[Need to Farm4]]-Ascension_Stones4447[[#This Row],[Need to Farm414]]</f>
        <v>0</v>
      </c>
    </row>
    <row r="7" spans="1:26" ht="30" customHeight="1" x14ac:dyDescent="0.25">
      <c r="A7" s="161">
        <f>SUBTOTAL(3,$B$4:Ascension_Stones4447[[#This Row],[Stone Name]])</f>
        <v>4</v>
      </c>
      <c r="B7" s="162" t="s">
        <v>892</v>
      </c>
      <c r="C7" s="161" t="e" vm="34">
        <f>IFERROR(INDEX(GemsImg[Icon], MATCH(_xlfn.CONCAT(Ascension_Stones4447[[#This Row],[Stone Name]],"Gemstone"), GemsImg[Name], 0)), "")</f>
        <v>#VALUE!</v>
      </c>
      <c r="D7" s="2">
        <f>SUMIF(Gemstone[Stone Type],Ascension_Stones4447[[#This Row],[Gemstone]],Gemstone[Gemstone])</f>
        <v>36</v>
      </c>
      <c r="E7" s="2" t="e" vm="772">
        <f>IFERROR(INDEX(GemsImg[Icon], MATCH(_xlfn.CONCAT(Ascension_Stones4447[[#This Row],[Stone Name]],"Chunk"), GemsImg[Name], 0)), "")</f>
        <v>#VALUE!</v>
      </c>
      <c r="F7" s="2">
        <f>SUMIF(Gemstone[Stone Type],Ascension_Stones4447[[#This Row],[Gemstone]],Gemstone[Chunk])</f>
        <v>54</v>
      </c>
      <c r="G7" s="2" t="e" vm="771">
        <f>IFERROR(INDEX(GemsImg[Icon], MATCH(_xlfn.CONCAT(Ascension_Stones4447[[#This Row],[Stone Name]],"Fragment"), GemsImg[Name], 0)), "")</f>
        <v>#VALUE!</v>
      </c>
      <c r="H7" s="2">
        <f>SUMIF(Gemstone[Stone Type],Ascension_Stones4447[[#This Row],[Gemstone]],Gemstone[Fragment])</f>
        <v>54</v>
      </c>
      <c r="I7" s="2" t="e" vm="769">
        <f>IFERROR(INDEX(GemsImg[Icon], MATCH(_xlfn.CONCAT(Ascension_Stones4447[[#This Row],[Stone Name]],"Silver"), GemsImg[Name], 0)), "")</f>
        <v>#VALUE!</v>
      </c>
      <c r="J7" s="162">
        <f>SUMIF(Gemstone[Stone Type],Ascension_Stones4447[[#This Row],[Gemstone]],Gemstone[Silver])</f>
        <v>1</v>
      </c>
      <c r="K7" s="161" t="e" vm="34">
        <f>IFERROR(INDEX(GemsImg[Icon], MATCH(_xlfn.CONCAT(Ascension_Stones4447[[#This Row],[Stone Name]],"Gemstone"), GemsImg[Name], 0)), "")</f>
        <v>#VALUE!</v>
      </c>
      <c r="L7" s="2">
        <f>IFERROR(INDEX(GemsInv[Quantity], MATCH(Ascension_Stones4447[[#This Row],[Gemstone2]], GemsInv[Icon], 0)), "")</f>
        <v>0</v>
      </c>
      <c r="M7" s="2" t="e" vm="772">
        <f>IFERROR(INDEX(GemsImg[Icon], MATCH(_xlfn.CONCAT(Ascension_Stones4447[[#This Row],[Stone Name]],"Chunk"), GemsImg[Name], 0)), "")</f>
        <v>#VALUE!</v>
      </c>
      <c r="N7" s="2">
        <f>IFERROR(INDEX(GemsInv[Quantity], MATCH(Ascension_Stones4447[[#This Row],[Chunk6]], GemsInv[Icon], 0)), "")</f>
        <v>0</v>
      </c>
      <c r="O7" s="2" t="e" vm="771">
        <f>IFERROR(INDEX(GemsImg[Icon], MATCH(_xlfn.CONCAT(Ascension_Stones4447[[#This Row],[Stone Name]],"Fragment"), GemsImg[Name], 0)), "")</f>
        <v>#VALUE!</v>
      </c>
      <c r="P7" s="2">
        <f>IFERROR(INDEX(GemsInv[Quantity], MATCH(Ascension_Stones4447[[#This Row],[Fragment11]], GemsInv[Icon], 0)), "")</f>
        <v>0</v>
      </c>
      <c r="Q7" s="2" t="e" vm="769">
        <f>IFERROR(INDEX(GemsImg[Icon], MATCH(_xlfn.CONCAT(Ascension_Stones4447[[#This Row],[Stone Name]],"Silver"), GemsImg[Name], 0)), "")</f>
        <v>#VALUE!</v>
      </c>
      <c r="R7" s="162">
        <f>IFERROR(INDEX(GemsInv[Quantity], MATCH(Ascension_Stones4447[[#This Row],[Silver13]], GemsInv[Icon], 0)), "")</f>
        <v>0</v>
      </c>
      <c r="S7" s="161" t="e" vm="34">
        <f>IFERROR(INDEX(GemsImg[Icon], MATCH(_xlfn.CONCAT(Ascension_Stones4447[[#This Row],[Stone Name]],"Gemstone"), GemsImg[Name], 0)), "")</f>
        <v>#VALUE!</v>
      </c>
      <c r="T7" s="2">
        <f>Ascension_Stones4447[[#This Row],[Need to Farm]]-Ascension_Stones4447[[#This Row],[Need to Farm5]]</f>
        <v>36</v>
      </c>
      <c r="U7" s="2" t="e" vm="772">
        <f>IFERROR(INDEX(GemsImg[Icon], MATCH(_xlfn.CONCAT(Ascension_Stones4447[[#This Row],[Stone Name]],"Chunk"), GemsImg[Name], 0)), "")</f>
        <v>#VALUE!</v>
      </c>
      <c r="V7" s="2">
        <f>Ascension_Stones4447[[#This Row],[Need to Farm2]]-Ascension_Stones4447[[#This Row],[Need to Farm210]]</f>
        <v>54</v>
      </c>
      <c r="W7" s="2" t="e" vm="771">
        <f>IFERROR(INDEX(GemsImg[Icon], MATCH(_xlfn.CONCAT(Ascension_Stones4447[[#This Row],[Stone Name]],"Fragment"), GemsImg[Name], 0)), "")</f>
        <v>#VALUE!</v>
      </c>
      <c r="X7" s="2">
        <f>Ascension_Stones4447[[#This Row],[Need to Farm3]]-Ascension_Stones4447[[#This Row],[Need to Farm312]]</f>
        <v>54</v>
      </c>
      <c r="Y7" s="2" t="e" vm="769">
        <f>IFERROR(INDEX(GemsImg[Icon], MATCH(_xlfn.CONCAT(Ascension_Stones4447[[#This Row],[Stone Name]],"Silver"), GemsImg[Name], 0)), "")</f>
        <v>#VALUE!</v>
      </c>
      <c r="Z7" s="162">
        <f>Ascension_Stones4447[[#This Row],[Need to Farm4]]-Ascension_Stones4447[[#This Row],[Need to Farm414]]</f>
        <v>1</v>
      </c>
    </row>
    <row r="8" spans="1:26" ht="30" customHeight="1" x14ac:dyDescent="0.25">
      <c r="A8" s="161">
        <f>SUBTOTAL(3,$B$4:Ascension_Stones4447[[#This Row],[Stone Name]])</f>
        <v>5</v>
      </c>
      <c r="B8" s="162" t="s">
        <v>893</v>
      </c>
      <c r="C8" s="161" t="e" vm="97">
        <f>IFERROR(INDEX(GemsImg[Icon], MATCH(_xlfn.CONCAT(Ascension_Stones4447[[#This Row],[Stone Name]],"Gemstone"), GemsImg[Name], 0)), "")</f>
        <v>#VALUE!</v>
      </c>
      <c r="D8" s="2">
        <f>SUMIF(Gemstone[Stone Type],Ascension_Stones4447[[#This Row],[Gemstone]],Gemstone[Gemstone])</f>
        <v>36</v>
      </c>
      <c r="E8" s="2" t="e" vm="778">
        <f>IFERROR(INDEX(GemsImg[Icon], MATCH(_xlfn.CONCAT(Ascension_Stones4447[[#This Row],[Stone Name]],"Chunk"), GemsImg[Name], 0)), "")</f>
        <v>#VALUE!</v>
      </c>
      <c r="F8" s="2">
        <f>SUMIF(Gemstone[Stone Type],Ascension_Stones4447[[#This Row],[Gemstone]],Gemstone[Chunk])</f>
        <v>39</v>
      </c>
      <c r="G8" s="2" t="e" vm="776">
        <f>IFERROR(INDEX(GemsImg[Icon], MATCH(_xlfn.CONCAT(Ascension_Stones4447[[#This Row],[Stone Name]],"Fragment"), GemsImg[Name], 0)), "")</f>
        <v>#VALUE!</v>
      </c>
      <c r="H8" s="2">
        <f>SUMIF(Gemstone[Stone Type],Ascension_Stones4447[[#This Row],[Gemstone]],Gemstone[Fragment])</f>
        <v>9</v>
      </c>
      <c r="I8" s="2" t="e" vm="775">
        <f>IFERROR(INDEX(GemsImg[Icon], MATCH(_xlfn.CONCAT(Ascension_Stones4447[[#This Row],[Stone Name]],"Silver"), GemsImg[Name], 0)), "")</f>
        <v>#VALUE!</v>
      </c>
      <c r="J8" s="162">
        <f>SUMIF(Gemstone[Stone Type],Ascension_Stones4447[[#This Row],[Gemstone]],Gemstone[Silver])</f>
        <v>0</v>
      </c>
      <c r="K8" s="161" t="e" vm="97">
        <f>IFERROR(INDEX(GemsImg[Icon], MATCH(_xlfn.CONCAT(Ascension_Stones4447[[#This Row],[Stone Name]],"Gemstone"), GemsImg[Name], 0)), "")</f>
        <v>#VALUE!</v>
      </c>
      <c r="L8" s="2">
        <f>IFERROR(INDEX(GemsInv[Quantity], MATCH(Ascension_Stones4447[[#This Row],[Gemstone2]], GemsInv[Icon], 0)), "")</f>
        <v>0</v>
      </c>
      <c r="M8" s="2" t="e" vm="778">
        <f>IFERROR(INDEX(GemsImg[Icon], MATCH(_xlfn.CONCAT(Ascension_Stones4447[[#This Row],[Stone Name]],"Chunk"), GemsImg[Name], 0)), "")</f>
        <v>#VALUE!</v>
      </c>
      <c r="N8" s="2">
        <f>IFERROR(INDEX(GemsInv[Quantity], MATCH(Ascension_Stones4447[[#This Row],[Chunk6]], GemsInv[Icon], 0)), "")</f>
        <v>0</v>
      </c>
      <c r="O8" s="2" t="e" vm="776">
        <f>IFERROR(INDEX(GemsImg[Icon], MATCH(_xlfn.CONCAT(Ascension_Stones4447[[#This Row],[Stone Name]],"Fragment"), GemsImg[Name], 0)), "")</f>
        <v>#VALUE!</v>
      </c>
      <c r="P8" s="2">
        <f>IFERROR(INDEX(GemsInv[Quantity], MATCH(Ascension_Stones4447[[#This Row],[Fragment11]], GemsInv[Icon], 0)), "")</f>
        <v>0</v>
      </c>
      <c r="Q8" s="2" t="e" vm="775">
        <f>IFERROR(INDEX(GemsImg[Icon], MATCH(_xlfn.CONCAT(Ascension_Stones4447[[#This Row],[Stone Name]],"Silver"), GemsImg[Name], 0)), "")</f>
        <v>#VALUE!</v>
      </c>
      <c r="R8" s="162">
        <f>IFERROR(INDEX(GemsInv[Quantity], MATCH(Ascension_Stones4447[[#This Row],[Silver13]], GemsInv[Icon], 0)), "")</f>
        <v>0</v>
      </c>
      <c r="S8" s="161" t="e" vm="97">
        <f>IFERROR(INDEX(GemsImg[Icon], MATCH(_xlfn.CONCAT(Ascension_Stones4447[[#This Row],[Stone Name]],"Gemstone"), GemsImg[Name], 0)), "")</f>
        <v>#VALUE!</v>
      </c>
      <c r="T8" s="2">
        <f>Ascension_Stones4447[[#This Row],[Need to Farm]]-Ascension_Stones4447[[#This Row],[Need to Farm5]]</f>
        <v>36</v>
      </c>
      <c r="U8" s="2" t="e" vm="778">
        <f>IFERROR(INDEX(GemsImg[Icon], MATCH(_xlfn.CONCAT(Ascension_Stones4447[[#This Row],[Stone Name]],"Chunk"), GemsImg[Name], 0)), "")</f>
        <v>#VALUE!</v>
      </c>
      <c r="V8" s="2">
        <f>Ascension_Stones4447[[#This Row],[Need to Farm2]]-Ascension_Stones4447[[#This Row],[Need to Farm210]]</f>
        <v>39</v>
      </c>
      <c r="W8" s="2" t="e" vm="776">
        <f>IFERROR(INDEX(GemsImg[Icon], MATCH(_xlfn.CONCAT(Ascension_Stones4447[[#This Row],[Stone Name]],"Fragment"), GemsImg[Name], 0)), "")</f>
        <v>#VALUE!</v>
      </c>
      <c r="X8" s="2">
        <f>Ascension_Stones4447[[#This Row],[Need to Farm3]]-Ascension_Stones4447[[#This Row],[Need to Farm312]]</f>
        <v>9</v>
      </c>
      <c r="Y8" s="2" t="e" vm="775">
        <f>IFERROR(INDEX(GemsImg[Icon], MATCH(_xlfn.CONCAT(Ascension_Stones4447[[#This Row],[Stone Name]],"Silver"), GemsImg[Name], 0)), "")</f>
        <v>#VALUE!</v>
      </c>
      <c r="Z8" s="162">
        <f>Ascension_Stones4447[[#This Row],[Need to Farm4]]-Ascension_Stones4447[[#This Row],[Need to Farm414]]</f>
        <v>0</v>
      </c>
    </row>
    <row r="9" spans="1:26" ht="30" customHeight="1" x14ac:dyDescent="0.25">
      <c r="A9" s="161">
        <f>SUBTOTAL(3,$B$4:Ascension_Stones4447[[#This Row],[Stone Name]])</f>
        <v>6</v>
      </c>
      <c r="B9" s="162" t="s">
        <v>894</v>
      </c>
      <c r="C9" s="161" t="e" vm="135">
        <f>IFERROR(INDEX(GemsImg[Icon], MATCH(_xlfn.CONCAT(Ascension_Stones4447[[#This Row],[Stone Name]],"Gemstone"), GemsImg[Name], 0)), "")</f>
        <v>#VALUE!</v>
      </c>
      <c r="D9" s="2">
        <f>SUMIF(Gemstone[Stone Type],Ascension_Stones4447[[#This Row],[Gemstone]],Gemstone[Gemstone])</f>
        <v>30</v>
      </c>
      <c r="E9" s="2" t="e" vm="784">
        <f>IFERROR(INDEX(GemsImg[Icon], MATCH(_xlfn.CONCAT(Ascension_Stones4447[[#This Row],[Stone Name]],"Chunk"), GemsImg[Name], 0)), "")</f>
        <v>#VALUE!</v>
      </c>
      <c r="F9" s="2">
        <f>SUMIF(Gemstone[Stone Type],Ascension_Stones4447[[#This Row],[Gemstone]],Gemstone[Chunk])</f>
        <v>36</v>
      </c>
      <c r="G9" s="2" t="e" vm="782">
        <f>IFERROR(INDEX(GemsImg[Icon], MATCH(_xlfn.CONCAT(Ascension_Stones4447[[#This Row],[Stone Name]],"Fragment"), GemsImg[Name], 0)), "")</f>
        <v>#VALUE!</v>
      </c>
      <c r="H9" s="2">
        <f>SUMIF(Gemstone[Stone Type],Ascension_Stones4447[[#This Row],[Gemstone]],Gemstone[Fragment])</f>
        <v>27</v>
      </c>
      <c r="I9" s="2" t="e" vm="780">
        <f>IFERROR(INDEX(GemsImg[Icon], MATCH(_xlfn.CONCAT(Ascension_Stones4447[[#This Row],[Stone Name]],"Silver"), GemsImg[Name], 0)), "")</f>
        <v>#VALUE!</v>
      </c>
      <c r="J9" s="162">
        <f>SUMIF(Gemstone[Stone Type],Ascension_Stones4447[[#This Row],[Gemstone]],Gemstone[Silver])</f>
        <v>0</v>
      </c>
      <c r="K9" s="161" t="e" vm="135">
        <f>IFERROR(INDEX(GemsImg[Icon], MATCH(_xlfn.CONCAT(Ascension_Stones4447[[#This Row],[Stone Name]],"Gemstone"), GemsImg[Name], 0)), "")</f>
        <v>#VALUE!</v>
      </c>
      <c r="L9" s="2">
        <f>IFERROR(INDEX(GemsInv[Quantity], MATCH(Ascension_Stones4447[[#This Row],[Gemstone2]], GemsInv[Icon], 0)), "")</f>
        <v>0</v>
      </c>
      <c r="M9" s="2" t="e" vm="784">
        <f>IFERROR(INDEX(GemsImg[Icon], MATCH(_xlfn.CONCAT(Ascension_Stones4447[[#This Row],[Stone Name]],"Chunk"), GemsImg[Name], 0)), "")</f>
        <v>#VALUE!</v>
      </c>
      <c r="N9" s="2">
        <f>IFERROR(INDEX(GemsInv[Quantity], MATCH(Ascension_Stones4447[[#This Row],[Chunk6]], GemsInv[Icon], 0)), "")</f>
        <v>0</v>
      </c>
      <c r="O9" s="2" t="e" vm="782">
        <f>IFERROR(INDEX(GemsImg[Icon], MATCH(_xlfn.CONCAT(Ascension_Stones4447[[#This Row],[Stone Name]],"Fragment"), GemsImg[Name], 0)), "")</f>
        <v>#VALUE!</v>
      </c>
      <c r="P9" s="2">
        <f>IFERROR(INDEX(GemsInv[Quantity], MATCH(Ascension_Stones4447[[#This Row],[Fragment11]], GemsInv[Icon], 0)), "")</f>
        <v>0</v>
      </c>
      <c r="Q9" s="2" t="e" vm="780">
        <f>IFERROR(INDEX(GemsImg[Icon], MATCH(_xlfn.CONCAT(Ascension_Stones4447[[#This Row],[Stone Name]],"Silver"), GemsImg[Name], 0)), "")</f>
        <v>#VALUE!</v>
      </c>
      <c r="R9" s="162">
        <f>IFERROR(INDEX(GemsInv[Quantity], MATCH(Ascension_Stones4447[[#This Row],[Silver13]], GemsInv[Icon], 0)), "")</f>
        <v>0</v>
      </c>
      <c r="S9" s="161" t="e" vm="135">
        <f>IFERROR(INDEX(GemsImg[Icon], MATCH(_xlfn.CONCAT(Ascension_Stones4447[[#This Row],[Stone Name]],"Gemstone"), GemsImg[Name], 0)), "")</f>
        <v>#VALUE!</v>
      </c>
      <c r="T9" s="2">
        <f>Ascension_Stones4447[[#This Row],[Need to Farm]]-Ascension_Stones4447[[#This Row],[Need to Farm5]]</f>
        <v>30</v>
      </c>
      <c r="U9" s="2" t="e" vm="784">
        <f>IFERROR(INDEX(GemsImg[Icon], MATCH(_xlfn.CONCAT(Ascension_Stones4447[[#This Row],[Stone Name]],"Chunk"), GemsImg[Name], 0)), "")</f>
        <v>#VALUE!</v>
      </c>
      <c r="V9" s="2">
        <f>Ascension_Stones4447[[#This Row],[Need to Farm2]]-Ascension_Stones4447[[#This Row],[Need to Farm210]]</f>
        <v>36</v>
      </c>
      <c r="W9" s="2" t="e" vm="782">
        <f>IFERROR(INDEX(GemsImg[Icon], MATCH(_xlfn.CONCAT(Ascension_Stones4447[[#This Row],[Stone Name]],"Fragment"), GemsImg[Name], 0)), "")</f>
        <v>#VALUE!</v>
      </c>
      <c r="X9" s="2">
        <f>Ascension_Stones4447[[#This Row],[Need to Farm3]]-Ascension_Stones4447[[#This Row],[Need to Farm312]]</f>
        <v>27</v>
      </c>
      <c r="Y9" s="2" t="e" vm="780">
        <f>IFERROR(INDEX(GemsImg[Icon], MATCH(_xlfn.CONCAT(Ascension_Stones4447[[#This Row],[Stone Name]],"Silver"), GemsImg[Name], 0)), "")</f>
        <v>#VALUE!</v>
      </c>
      <c r="Z9" s="162">
        <f>Ascension_Stones4447[[#This Row],[Need to Farm4]]-Ascension_Stones4447[[#This Row],[Need to Farm414]]</f>
        <v>0</v>
      </c>
    </row>
    <row r="10" spans="1:26" ht="30" customHeight="1" x14ac:dyDescent="0.25">
      <c r="A10" s="161">
        <f>SUBTOTAL(3,$B$4:Ascension_Stones4447[[#This Row],[Stone Name]])</f>
        <v>7</v>
      </c>
      <c r="B10" s="162" t="s">
        <v>895</v>
      </c>
      <c r="C10" s="161" t="e" vm="168">
        <f>IFERROR(INDEX(GemsImg[Icon], MATCH(_xlfn.CONCAT(Ascension_Stones4447[[#This Row],[Stone Name]],"Gemstone"), GemsImg[Name], 0)), "")</f>
        <v>#VALUE!</v>
      </c>
      <c r="D10" s="2">
        <f>SUMIF(Gemstone[Stone Type],Ascension_Stones4447[[#This Row],[Gemstone]],Gemstone[Gemstone])</f>
        <v>48</v>
      </c>
      <c r="E10" s="2" t="e" vm="789">
        <f>IFERROR(INDEX(GemsImg[Icon], MATCH(_xlfn.CONCAT(Ascension_Stones4447[[#This Row],[Stone Name]],"Chunk"), GemsImg[Name], 0)), "")</f>
        <v>#VALUE!</v>
      </c>
      <c r="F10" s="2">
        <f>SUMIF(Gemstone[Stone Type],Ascension_Stones4447[[#This Row],[Gemstone]],Gemstone[Chunk])</f>
        <v>63</v>
      </c>
      <c r="G10" s="2" t="e" vm="788">
        <f>IFERROR(INDEX(GemsImg[Icon], MATCH(_xlfn.CONCAT(Ascension_Stones4447[[#This Row],[Stone Name]],"Fragment"), GemsImg[Name], 0)), "")</f>
        <v>#VALUE!</v>
      </c>
      <c r="H10" s="2">
        <f>SUMIF(Gemstone[Stone Type],Ascension_Stones4447[[#This Row],[Gemstone]],Gemstone[Fragment])</f>
        <v>51</v>
      </c>
      <c r="I10" s="2" t="e" vm="786">
        <f>IFERROR(INDEX(GemsImg[Icon], MATCH(_xlfn.CONCAT(Ascension_Stones4447[[#This Row],[Stone Name]],"Silver"), GemsImg[Name], 0)), "")</f>
        <v>#VALUE!</v>
      </c>
      <c r="J10" s="162">
        <f>SUMIF(Gemstone[Stone Type],Ascension_Stones4447[[#This Row],[Gemstone]],Gemstone[Silver])</f>
        <v>0</v>
      </c>
      <c r="K10" s="161" t="e" vm="168">
        <f>IFERROR(INDEX(GemsImg[Icon], MATCH(_xlfn.CONCAT(Ascension_Stones4447[[#This Row],[Stone Name]],"Gemstone"), GemsImg[Name], 0)), "")</f>
        <v>#VALUE!</v>
      </c>
      <c r="L10" s="2">
        <f>IFERROR(INDEX(GemsInv[Quantity], MATCH(Ascension_Stones4447[[#This Row],[Gemstone2]], GemsInv[Icon], 0)), "")</f>
        <v>0</v>
      </c>
      <c r="M10" s="2" t="e" vm="789">
        <f>IFERROR(INDEX(GemsImg[Icon], MATCH(_xlfn.CONCAT(Ascension_Stones4447[[#This Row],[Stone Name]],"Chunk"), GemsImg[Name], 0)), "")</f>
        <v>#VALUE!</v>
      </c>
      <c r="N10" s="2">
        <f>IFERROR(INDEX(GemsInv[Quantity], MATCH(Ascension_Stones4447[[#This Row],[Chunk6]], GemsInv[Icon], 0)), "")</f>
        <v>0</v>
      </c>
      <c r="O10" s="2" t="e" vm="788">
        <f>IFERROR(INDEX(GemsImg[Icon], MATCH(_xlfn.CONCAT(Ascension_Stones4447[[#This Row],[Stone Name]],"Fragment"), GemsImg[Name], 0)), "")</f>
        <v>#VALUE!</v>
      </c>
      <c r="P10" s="2">
        <f>IFERROR(INDEX(GemsInv[Quantity], MATCH(Ascension_Stones4447[[#This Row],[Fragment11]], GemsInv[Icon], 0)), "")</f>
        <v>0</v>
      </c>
      <c r="Q10" s="2" t="e" vm="786">
        <f>IFERROR(INDEX(GemsImg[Icon], MATCH(_xlfn.CONCAT(Ascension_Stones4447[[#This Row],[Stone Name]],"Silver"), GemsImg[Name], 0)), "")</f>
        <v>#VALUE!</v>
      </c>
      <c r="R10" s="162">
        <f>IFERROR(INDEX(GemsInv[Quantity], MATCH(Ascension_Stones4447[[#This Row],[Silver13]], GemsInv[Icon], 0)), "")</f>
        <v>0</v>
      </c>
      <c r="S10" s="161" t="e" vm="168">
        <f>IFERROR(INDEX(GemsImg[Icon], MATCH(_xlfn.CONCAT(Ascension_Stones4447[[#This Row],[Stone Name]],"Gemstone"), GemsImg[Name], 0)), "")</f>
        <v>#VALUE!</v>
      </c>
      <c r="T10" s="2">
        <f>Ascension_Stones4447[[#This Row],[Need to Farm]]-Ascension_Stones4447[[#This Row],[Need to Farm5]]</f>
        <v>48</v>
      </c>
      <c r="U10" s="2" t="e" vm="789">
        <f>IFERROR(INDEX(GemsImg[Icon], MATCH(_xlfn.CONCAT(Ascension_Stones4447[[#This Row],[Stone Name]],"Chunk"), GemsImg[Name], 0)), "")</f>
        <v>#VALUE!</v>
      </c>
      <c r="V10" s="2">
        <f>Ascension_Stones4447[[#This Row],[Need to Farm2]]-Ascension_Stones4447[[#This Row],[Need to Farm210]]</f>
        <v>63</v>
      </c>
      <c r="W10" s="2" t="e" vm="788">
        <f>IFERROR(INDEX(GemsImg[Icon], MATCH(_xlfn.CONCAT(Ascension_Stones4447[[#This Row],[Stone Name]],"Fragment"), GemsImg[Name], 0)), "")</f>
        <v>#VALUE!</v>
      </c>
      <c r="X10" s="2">
        <f>Ascension_Stones4447[[#This Row],[Need to Farm3]]-Ascension_Stones4447[[#This Row],[Need to Farm312]]</f>
        <v>51</v>
      </c>
      <c r="Y10" s="2" t="e" vm="786">
        <f>IFERROR(INDEX(GemsImg[Icon], MATCH(_xlfn.CONCAT(Ascension_Stones4447[[#This Row],[Stone Name]],"Silver"), GemsImg[Name], 0)), "")</f>
        <v>#VALUE!</v>
      </c>
      <c r="Z10" s="162">
        <f>Ascension_Stones4447[[#This Row],[Need to Farm4]]-Ascension_Stones4447[[#This Row],[Need to Farm414]]</f>
        <v>0</v>
      </c>
    </row>
    <row r="11" spans="1:26" ht="30" customHeight="1" thickBot="1" x14ac:dyDescent="0.3">
      <c r="A11" s="161">
        <f>SUBTOTAL(3,$B$4:Ascension_Stones4447[[#This Row],[Stone Name]])</f>
        <v>8</v>
      </c>
      <c r="B11" s="162" t="s">
        <v>896</v>
      </c>
      <c r="C11" s="163" t="e" vm="12">
        <f>IFERROR(INDEX(GemsImg[Icon], MATCH(_xlfn.CONCAT(Ascension_Stones4447[[#This Row],[Stone Name]],"Gemstone"), GemsImg[Name], 0)), "")</f>
        <v>#VALUE!</v>
      </c>
      <c r="D11" s="164">
        <f>SUMIF(Gemstone[Stone Type],Ascension_Stones4447[[#This Row],[Gemstone]],Gemstone[Gemstone])</f>
        <v>12</v>
      </c>
      <c r="E11" s="164" t="e" vm="797">
        <f>IFERROR(INDEX(GemsImg[Icon], MATCH(_xlfn.CONCAT(Ascension_Stones4447[[#This Row],[Stone Name]],"Chunk"), GemsImg[Name], 0)), "")</f>
        <v>#VALUE!</v>
      </c>
      <c r="F11" s="164">
        <f>SUMIF(Gemstone[Stone Type],Ascension_Stones4447[[#This Row],[Gemstone]],Gemstone[Chunk])</f>
        <v>18</v>
      </c>
      <c r="G11" s="164" t="e" vm="795">
        <f>IFERROR(INDEX(GemsImg[Icon], MATCH(_xlfn.CONCAT(Ascension_Stones4447[[#This Row],[Stone Name]],"Fragment"), GemsImg[Name], 0)), "")</f>
        <v>#VALUE!</v>
      </c>
      <c r="H11" s="164">
        <f>SUMIF(Gemstone[Stone Type],Ascension_Stones4447[[#This Row],[Gemstone]],Gemstone[Fragment])</f>
        <v>18</v>
      </c>
      <c r="I11" s="164" t="e" vm="794">
        <f>IFERROR(INDEX(GemsImg[Icon], MATCH(_xlfn.CONCAT(Ascension_Stones4447[[#This Row],[Stone Name]],"Silver"), GemsImg[Name], 0)), "")</f>
        <v>#VALUE!</v>
      </c>
      <c r="J11" s="165">
        <f>SUMIF(Gemstone[Stone Type],Ascension_Stones4447[[#This Row],[Gemstone]],Gemstone[Silver])</f>
        <v>0</v>
      </c>
      <c r="K11" s="163" t="e" vm="12">
        <f>IFERROR(INDEX(GemsImg[Icon], MATCH(_xlfn.CONCAT(Ascension_Stones4447[[#This Row],[Stone Name]],"Gemstone"), GemsImg[Name], 0)), "")</f>
        <v>#VALUE!</v>
      </c>
      <c r="L11" s="164">
        <f>IFERROR(INDEX(GemsInv[Quantity], MATCH(Ascension_Stones4447[[#This Row],[Gemstone2]], GemsInv[Icon], 0)), "")</f>
        <v>0</v>
      </c>
      <c r="M11" s="164" t="e" vm="797">
        <f>IFERROR(INDEX(GemsImg[Icon], MATCH(_xlfn.CONCAT(Ascension_Stones4447[[#This Row],[Stone Name]],"Chunk"), GemsImg[Name], 0)), "")</f>
        <v>#VALUE!</v>
      </c>
      <c r="N11" s="164">
        <f>IFERROR(INDEX(GemsInv[Quantity], MATCH(Ascension_Stones4447[[#This Row],[Chunk6]], GemsInv[Icon], 0)), "")</f>
        <v>0</v>
      </c>
      <c r="O11" s="164" t="e" vm="795">
        <f>IFERROR(INDEX(GemsImg[Icon], MATCH(_xlfn.CONCAT(Ascension_Stones4447[[#This Row],[Stone Name]],"Fragment"), GemsImg[Name], 0)), "")</f>
        <v>#VALUE!</v>
      </c>
      <c r="P11" s="164">
        <f>IFERROR(INDEX(GemsInv[Quantity], MATCH(Ascension_Stones4447[[#This Row],[Fragment11]], GemsInv[Icon], 0)), "")</f>
        <v>0</v>
      </c>
      <c r="Q11" s="164" t="e" vm="794">
        <f>IFERROR(INDEX(GemsImg[Icon], MATCH(_xlfn.CONCAT(Ascension_Stones4447[[#This Row],[Stone Name]],"Silver"), GemsImg[Name], 0)), "")</f>
        <v>#VALUE!</v>
      </c>
      <c r="R11" s="165">
        <f>IFERROR(INDEX(GemsInv[Quantity], MATCH(Ascension_Stones4447[[#This Row],[Silver13]], GemsInv[Icon], 0)), "")</f>
        <v>0</v>
      </c>
      <c r="S11" s="163" t="e" vm="12">
        <f>IFERROR(INDEX(GemsImg[Icon], MATCH(_xlfn.CONCAT(Ascension_Stones4447[[#This Row],[Stone Name]],"Gemstone"), GemsImg[Name], 0)), "")</f>
        <v>#VALUE!</v>
      </c>
      <c r="T11" s="164">
        <f>Ascension_Stones4447[[#This Row],[Need to Farm]]-Ascension_Stones4447[[#This Row],[Need to Farm5]]</f>
        <v>12</v>
      </c>
      <c r="U11" s="164" t="e" vm="797">
        <f>IFERROR(INDEX(GemsImg[Icon], MATCH(_xlfn.CONCAT(Ascension_Stones4447[[#This Row],[Stone Name]],"Chunk"), GemsImg[Name], 0)), "")</f>
        <v>#VALUE!</v>
      </c>
      <c r="V11" s="164">
        <f>Ascension_Stones4447[[#This Row],[Need to Farm2]]-Ascension_Stones4447[[#This Row],[Need to Farm210]]</f>
        <v>18</v>
      </c>
      <c r="W11" s="164" t="e" vm="795">
        <f>IFERROR(INDEX(GemsImg[Icon], MATCH(_xlfn.CONCAT(Ascension_Stones4447[[#This Row],[Stone Name]],"Fragment"), GemsImg[Name], 0)), "")</f>
        <v>#VALUE!</v>
      </c>
      <c r="X11" s="164">
        <f>Ascension_Stones4447[[#This Row],[Need to Farm3]]-Ascension_Stones4447[[#This Row],[Need to Farm312]]</f>
        <v>18</v>
      </c>
      <c r="Y11" s="164" t="e" vm="794">
        <f>IFERROR(INDEX(GemsImg[Icon], MATCH(_xlfn.CONCAT(Ascension_Stones4447[[#This Row],[Stone Name]],"Silver"), GemsImg[Name], 0)), "")</f>
        <v>#VALUE!</v>
      </c>
      <c r="Z11" s="165">
        <f>Ascension_Stones4447[[#This Row],[Need to Farm4]]-Ascension_Stones4447[[#This Row],[Need to Farm414]]</f>
        <v>0</v>
      </c>
    </row>
    <row r="12" spans="1:26" ht="30" customHeight="1" thickBot="1" x14ac:dyDescent="0.3">
      <c r="A12" s="163" t="s">
        <v>758</v>
      </c>
      <c r="B12" s="165" t="s">
        <v>758</v>
      </c>
      <c r="C12" s="163"/>
      <c r="D12" s="164">
        <f>SUBTOTAL(109,Ascension_Stones4447[Need to Farm])</f>
        <v>204</v>
      </c>
      <c r="E12" s="164"/>
      <c r="F12" s="164">
        <f>SUBTOTAL(109,Ascension_Stones4447[Need to Farm2])</f>
        <v>264</v>
      </c>
      <c r="G12" s="164"/>
      <c r="H12" s="164">
        <f>SUBTOTAL(109,Ascension_Stones4447[Need to Farm3])</f>
        <v>204</v>
      </c>
      <c r="I12" s="164"/>
      <c r="J12" s="164">
        <f>SUBTOTAL(109,Ascension_Stones4447[Need to Farm4])</f>
        <v>1</v>
      </c>
      <c r="K12" s="164"/>
      <c r="L12" s="164">
        <f>SUBTOTAL(109,Ascension_Stones4447[Need to Farm5])</f>
        <v>0</v>
      </c>
      <c r="M12" s="164"/>
      <c r="N12" s="164">
        <f>SUBTOTAL(109,Ascension_Stones4447[Need to Farm210])</f>
        <v>0</v>
      </c>
      <c r="O12" s="164"/>
      <c r="P12" s="164">
        <f>SUBTOTAL(109,Ascension_Stones4447[Need to Farm312])</f>
        <v>0</v>
      </c>
      <c r="Q12" s="164"/>
      <c r="R12" s="164">
        <f>SUBTOTAL(109,Ascension_Stones4447[Need to Farm414])</f>
        <v>0</v>
      </c>
      <c r="S12" s="164"/>
      <c r="T12" s="164">
        <f>SUBTOTAL(109,Ascension_Stones4447[Need to Farm6])</f>
        <v>204</v>
      </c>
      <c r="U12" s="164"/>
      <c r="V12" s="164">
        <f>SUBTOTAL(109,Ascension_Stones4447[Need to Farm211])</f>
        <v>264</v>
      </c>
      <c r="W12" s="164"/>
      <c r="X12" s="164">
        <f>SUBTOTAL(109,Ascension_Stones4447[Need to Farm313])</f>
        <v>204</v>
      </c>
      <c r="Y12" s="164"/>
      <c r="Z12" s="164">
        <f>SUBTOTAL(109,Ascension_Stones4447[Need to Farm415])</f>
        <v>1</v>
      </c>
    </row>
    <row r="13" spans="1:26" ht="30" customHeight="1" x14ac:dyDescent="0.25"/>
    <row r="14" spans="1:26" ht="30" customHeight="1" x14ac:dyDescent="0.25"/>
    <row r="15" spans="1:26" ht="30" customHeight="1" x14ac:dyDescent="0.25"/>
    <row r="16" spans="1:26" ht="30" customHeight="1" x14ac:dyDescent="0.25"/>
    <row r="17" ht="30" customHeight="1" x14ac:dyDescent="0.25"/>
    <row r="18" ht="30" customHeight="1" x14ac:dyDescent="0.25"/>
    <row r="19" ht="30" customHeight="1" x14ac:dyDescent="0.25"/>
    <row r="20" ht="30" customHeight="1" x14ac:dyDescent="0.25"/>
    <row r="21" ht="30" customHeight="1" x14ac:dyDescent="0.25"/>
    <row r="22" ht="30" customHeight="1" x14ac:dyDescent="0.25"/>
  </sheetData>
  <mergeCells count="4">
    <mergeCell ref="C2:J2"/>
    <mergeCell ref="A1:Z1"/>
    <mergeCell ref="K2:R2"/>
    <mergeCell ref="S2:Z2"/>
  </mergeCells>
  <phoneticPr fontId="4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F5CF9-B2CB-47F3-A511-836FC48CDFCB}">
  <sheetPr codeName="Sheet7">
    <tabColor rgb="FFFFC000"/>
  </sheetPr>
  <dimension ref="A1:AB46"/>
  <sheetViews>
    <sheetView tabSelected="1" zoomScaleNormal="100" workbookViewId="0">
      <selection activeCell="AA5" sqref="AA5"/>
    </sheetView>
    <sheetView workbookViewId="1">
      <selection sqref="A1:G1"/>
    </sheetView>
  </sheetViews>
  <sheetFormatPr defaultRowHeight="15" x14ac:dyDescent="0.25"/>
  <cols>
    <col min="1" max="1" width="9.140625" style="2" customWidth="1"/>
    <col min="2" max="2" width="21.7109375" style="2" customWidth="1"/>
    <col min="3" max="5" width="17" style="2" hidden="1" customWidth="1"/>
    <col min="6" max="6" width="8" style="2" customWidth="1"/>
    <col min="7" max="24" width="5.7109375" style="2" customWidth="1"/>
    <col min="25" max="16384" width="9.140625" style="2"/>
  </cols>
  <sheetData>
    <row r="1" spans="1:24" ht="34.5" thickBot="1" x14ac:dyDescent="0.3">
      <c r="A1" s="205" t="s">
        <v>813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7"/>
    </row>
    <row r="2" spans="1:24" x14ac:dyDescent="0.25">
      <c r="A2" s="158"/>
      <c r="B2" s="159"/>
      <c r="C2" s="159"/>
      <c r="D2" s="159"/>
      <c r="E2" s="159"/>
      <c r="F2" s="160"/>
      <c r="G2" s="211" t="s">
        <v>865</v>
      </c>
      <c r="H2" s="212"/>
      <c r="I2" s="212"/>
      <c r="J2" s="212"/>
      <c r="K2" s="212"/>
      <c r="L2" s="213"/>
      <c r="M2" s="211" t="s">
        <v>779</v>
      </c>
      <c r="N2" s="212"/>
      <c r="O2" s="212"/>
      <c r="P2" s="212"/>
      <c r="Q2" s="212"/>
      <c r="R2" s="213"/>
      <c r="S2" s="211" t="s">
        <v>780</v>
      </c>
      <c r="T2" s="212"/>
      <c r="U2" s="212"/>
      <c r="V2" s="212"/>
      <c r="W2" s="212"/>
      <c r="X2" s="213"/>
    </row>
    <row r="3" spans="1:24" s="13" customFormat="1" ht="15" customHeight="1" thickBot="1" x14ac:dyDescent="0.3">
      <c r="A3" s="226" t="s">
        <v>704</v>
      </c>
      <c r="B3" s="227" t="s">
        <v>883</v>
      </c>
      <c r="C3" s="227" t="s">
        <v>941</v>
      </c>
      <c r="D3" s="227" t="s">
        <v>942</v>
      </c>
      <c r="E3" s="227" t="s">
        <v>943</v>
      </c>
      <c r="F3" s="228" t="s">
        <v>706</v>
      </c>
      <c r="G3" s="180" t="s">
        <v>59</v>
      </c>
      <c r="H3" s="181" t="s">
        <v>921</v>
      </c>
      <c r="I3" s="181" t="s">
        <v>58</v>
      </c>
      <c r="J3" s="181" t="s">
        <v>920</v>
      </c>
      <c r="K3" s="181" t="s">
        <v>57</v>
      </c>
      <c r="L3" s="182" t="s">
        <v>922</v>
      </c>
      <c r="M3" s="180" t="s">
        <v>923</v>
      </c>
      <c r="N3" s="181" t="s">
        <v>924</v>
      </c>
      <c r="O3" s="181" t="s">
        <v>927</v>
      </c>
      <c r="P3" s="181" t="s">
        <v>925</v>
      </c>
      <c r="Q3" s="181" t="s">
        <v>928</v>
      </c>
      <c r="R3" s="182" t="s">
        <v>926</v>
      </c>
      <c r="S3" s="180" t="s">
        <v>929</v>
      </c>
      <c r="T3" s="181" t="s">
        <v>932</v>
      </c>
      <c r="U3" s="181" t="s">
        <v>930</v>
      </c>
      <c r="V3" s="181" t="s">
        <v>933</v>
      </c>
      <c r="W3" s="181" t="s">
        <v>931</v>
      </c>
      <c r="X3" s="182" t="s">
        <v>934</v>
      </c>
    </row>
    <row r="4" spans="1:24" ht="30" customHeight="1" x14ac:dyDescent="0.25">
      <c r="A4" s="161">
        <f>SUBTOTAL(3,$B$4:Ascension_Mob_Materials43[[#This Row],[Link to Interactive Map]])</f>
        <v>1</v>
      </c>
      <c r="B4" s="225" t="s">
        <v>91</v>
      </c>
      <c r="C4" s="214" t="s">
        <v>118</v>
      </c>
      <c r="D4" s="214" t="s">
        <v>104</v>
      </c>
      <c r="E4" s="214" t="s">
        <v>92</v>
      </c>
      <c r="F4" s="172">
        <v>1</v>
      </c>
      <c r="G4" s="221" t="e" vm="133">
        <f>IFERROR(INDEX(MonsterMaterialsImg[3*Icon], MATCH(Ascension_Mob_Materials43[[#This Row],[HelperName3*]], MonsterMaterialsImg[3*Name], 0)), "")</f>
        <v>#VALUE!</v>
      </c>
      <c r="H4" s="222">
        <f>SUMIF(MonsterMaterials[Material Type],Ascension_Mob_Materials43[[#This Row],[3* Mats]],MonsterMaterials[3* (Asc)])</f>
        <v>168</v>
      </c>
      <c r="I4" s="223" t="e" vm="720">
        <f>IFERROR(INDEX(MonsterMaterialsImg[2*Icon], MATCH(Ascension_Mob_Materials43[[#This Row],[HelperName2*]], MonsterMaterialsImg[2*Name], 0)), "")</f>
        <v>#VALUE!</v>
      </c>
      <c r="J4" s="222">
        <f>SUMIF(MonsterMaterials[Material Type],Ascension_Mob_Materials43[[#This Row],[3* Mats]],MonsterMaterials[2* (Asc)])</f>
        <v>120</v>
      </c>
      <c r="K4" s="223" t="e" vm="721">
        <f>IFERROR(INDEX(MonsterMaterialsImg[1*Icon], MATCH(Ascension_Mob_Materials43[[#This Row],[HelperName1*]], MonsterMaterialsImg[1*Name], 0)), "")</f>
        <v>#VALUE!</v>
      </c>
      <c r="L4" s="224">
        <f>SUMIF(MonsterMaterials[Material Type],Ascension_Mob_Materials43[[#This Row],[3* Mats]],MonsterMaterials[1* (Asc)])</f>
        <v>60</v>
      </c>
      <c r="M4" s="221" t="e" vm="133">
        <f>IFERROR(INDEX(MonsterMaterialsImg[3*Icon], MATCH(Ascension_Mob_Materials43[[#This Row],[HelperName3*]], MonsterMaterialsImg[3*Name], 0)), "")</f>
        <v>#VALUE!</v>
      </c>
      <c r="N4" s="222">
        <f>IFERROR(INDEX(MonsterMaterialsInv[3* Quantity], MATCH(Ascension_Mob_Materials43[[#This Row],[3* Mats2]], MonsterMaterialsInv[3* Icon], 0)), "")</f>
        <v>0</v>
      </c>
      <c r="O4" s="223" t="e" vm="720">
        <f>IFERROR(INDEX(MonsterMaterialsImg[2*Icon], MATCH(Ascension_Mob_Materials43[[#This Row],[HelperName2*]], MonsterMaterialsImg[2*Name], 0)), "")</f>
        <v>#VALUE!</v>
      </c>
      <c r="P4" s="222">
        <f>IFERROR(INDEX(MonsterMaterialsInv[2* Quantity], MATCH(Ascension_Mob_Materials43[[#This Row],[2* Mats2]], MonsterMaterialsInv[2* Icon], 0)), "")</f>
        <v>0</v>
      </c>
      <c r="Q4" s="223" t="e" vm="721">
        <f>IFERROR(INDEX(MonsterMaterialsImg[1*Icon], MATCH(Ascension_Mob_Materials43[[#This Row],[HelperName1*]], MonsterMaterialsImg[1*Name], 0)), "")</f>
        <v>#VALUE!</v>
      </c>
      <c r="R4" s="224">
        <f>IFERROR(INDEX(MonsterMaterialsInv[1* Quantity], MATCH(Ascension_Mob_Materials43[[#This Row],[1* Mats2]], MonsterMaterialsInv[1* Icon], 0)), "")</f>
        <v>0</v>
      </c>
      <c r="S4" s="221" t="e" vm="133">
        <f>IFERROR(INDEX(MonsterMaterialsImg[3*Icon], MATCH(Ascension_Mob_Materials43[[#This Row],[HelperName3*]], MonsterMaterialsImg[3*Name], 0)), "")</f>
        <v>#VALUE!</v>
      </c>
      <c r="T4" s="222">
        <f>Ascension_Mob_Materials43[[#This Row],[Need1]]-Ascension_Mob_Materials43[[#This Row],[Acquired1]]</f>
        <v>168</v>
      </c>
      <c r="U4" s="223" t="e" vm="720">
        <f>IFERROR(INDEX(MonsterMaterialsImg[2*Icon], MATCH(Ascension_Mob_Materials43[[#This Row],[HelperName2*]], MonsterMaterialsImg[2*Name], 0)), "")</f>
        <v>#VALUE!</v>
      </c>
      <c r="V4" s="222">
        <f>Ascension_Mob_Materials43[[#This Row],[Column1]]-Ascension_Mob_Materials43[[#This Row],[Acquired12]]</f>
        <v>120</v>
      </c>
      <c r="W4" s="223" t="e" vm="721">
        <f>IFERROR(INDEX(MonsterMaterialsImg[1*Icon], MATCH(Ascension_Mob_Materials43[[#This Row],[HelperName1*]], MonsterMaterialsImg[1*Name], 0)), "")</f>
        <v>#VALUE!</v>
      </c>
      <c r="X4" s="224">
        <f>Ascension_Mob_Materials43[[#This Row],[Need3]]-Ascension_Mob_Materials43[[#This Row],[Acquired13]]</f>
        <v>60</v>
      </c>
    </row>
    <row r="5" spans="1:24" ht="30" customHeight="1" x14ac:dyDescent="0.25">
      <c r="A5" s="161">
        <f>SUBTOTAL(3,$B$4:Ascension_Mob_Materials43[[#This Row],[Link to Interactive Map]])</f>
        <v>2</v>
      </c>
      <c r="B5" s="225" t="s">
        <v>133</v>
      </c>
      <c r="C5" s="214" t="s">
        <v>159</v>
      </c>
      <c r="D5" s="214" t="s">
        <v>147</v>
      </c>
      <c r="E5" s="214" t="s">
        <v>134</v>
      </c>
      <c r="F5" s="172">
        <v>1.01</v>
      </c>
      <c r="G5" s="221" t="e" vm="373">
        <f>IFERROR(INDEX(MonsterMaterialsImg[3*Icon], MATCH(Ascension_Mob_Materials43[[#This Row],[HelperName3*]], MonsterMaterialsImg[3*Name], 0)), "")</f>
        <v>#VALUE!</v>
      </c>
      <c r="H5" s="222">
        <f>SUMIF(MonsterMaterials[Material Type],Ascension_Mob_Materials43[[#This Row],[3* Mats]],MonsterMaterials[3* (Asc)])</f>
        <v>108</v>
      </c>
      <c r="I5" s="223" t="e" vm="726">
        <f>IFERROR(INDEX(MonsterMaterialsImg[2*Icon], MATCH(Ascension_Mob_Materials43[[#This Row],[HelperName2*]], MonsterMaterialsImg[2*Name], 0)), "")</f>
        <v>#VALUE!</v>
      </c>
      <c r="J5" s="222">
        <f>SUMIF(MonsterMaterials[Material Type],Ascension_Mob_Materials43[[#This Row],[3* Mats]],MonsterMaterials[2* (Asc)])</f>
        <v>78</v>
      </c>
      <c r="K5" s="223" t="e" vm="727">
        <f>IFERROR(INDEX(MonsterMaterialsImg[1*Icon], MATCH(Ascension_Mob_Materials43[[#This Row],[HelperName1*]], MonsterMaterialsImg[1*Name], 0)), "")</f>
        <v>#VALUE!</v>
      </c>
      <c r="L5" s="224">
        <f>SUMIF(MonsterMaterials[Material Type],Ascension_Mob_Materials43[[#This Row],[3* Mats]],MonsterMaterials[1* (Asc)])</f>
        <v>15</v>
      </c>
      <c r="M5" s="221" t="e" vm="373">
        <f>IFERROR(INDEX(MonsterMaterialsImg[3*Icon], MATCH(Ascension_Mob_Materials43[[#This Row],[HelperName3*]], MonsterMaterialsImg[3*Name], 0)), "")</f>
        <v>#VALUE!</v>
      </c>
      <c r="N5" s="222">
        <f>IFERROR(INDEX(MonsterMaterialsInv[3* Quantity], MATCH(Ascension_Mob_Materials43[[#This Row],[3* Mats2]], MonsterMaterialsInv[3* Icon], 0)), "")</f>
        <v>0</v>
      </c>
      <c r="O5" s="223" t="e" vm="726">
        <f>IFERROR(INDEX(MonsterMaterialsImg[2*Icon], MATCH(Ascension_Mob_Materials43[[#This Row],[HelperName2*]], MonsterMaterialsImg[2*Name], 0)), "")</f>
        <v>#VALUE!</v>
      </c>
      <c r="P5" s="222">
        <f>IFERROR(INDEX(MonsterMaterialsInv[2* Quantity], MATCH(Ascension_Mob_Materials43[[#This Row],[2* Mats2]], MonsterMaterialsInv[2* Icon], 0)), "")</f>
        <v>0</v>
      </c>
      <c r="Q5" s="223" t="e" vm="727">
        <f>IFERROR(INDEX(MonsterMaterialsImg[1*Icon], MATCH(Ascension_Mob_Materials43[[#This Row],[HelperName1*]], MonsterMaterialsImg[1*Name], 0)), "")</f>
        <v>#VALUE!</v>
      </c>
      <c r="R5" s="224">
        <f>IFERROR(INDEX(MonsterMaterialsInv[1* Quantity], MATCH(Ascension_Mob_Materials43[[#This Row],[1* Mats2]], MonsterMaterialsInv[1* Icon], 0)), "")</f>
        <v>0</v>
      </c>
      <c r="S5" s="221" t="e" vm="373">
        <f>IFERROR(INDEX(MonsterMaterialsImg[3*Icon], MATCH(Ascension_Mob_Materials43[[#This Row],[HelperName3*]], MonsterMaterialsImg[3*Name], 0)), "")</f>
        <v>#VALUE!</v>
      </c>
      <c r="T5" s="222">
        <f>Ascension_Mob_Materials43[[#This Row],[Need1]]-Ascension_Mob_Materials43[[#This Row],[Acquired1]]</f>
        <v>108</v>
      </c>
      <c r="U5" s="223" t="e" vm="726">
        <f>IFERROR(INDEX(MonsterMaterialsImg[2*Icon], MATCH(Ascension_Mob_Materials43[[#This Row],[HelperName2*]], MonsterMaterialsImg[2*Name], 0)), "")</f>
        <v>#VALUE!</v>
      </c>
      <c r="V5" s="222">
        <f>Ascension_Mob_Materials43[[#This Row],[Column1]]-Ascension_Mob_Materials43[[#This Row],[Acquired12]]</f>
        <v>78</v>
      </c>
      <c r="W5" s="223" t="e" vm="727">
        <f>IFERROR(INDEX(MonsterMaterialsImg[1*Icon], MATCH(Ascension_Mob_Materials43[[#This Row],[HelperName1*]], MonsterMaterialsImg[1*Name], 0)), "")</f>
        <v>#VALUE!</v>
      </c>
      <c r="X5" s="224">
        <f>Ascension_Mob_Materials43[[#This Row],[Need3]]-Ascension_Mob_Materials43[[#This Row],[Acquired13]]</f>
        <v>15</v>
      </c>
    </row>
    <row r="6" spans="1:24" ht="30" customHeight="1" x14ac:dyDescent="0.25">
      <c r="A6" s="161">
        <f>SUBTOTAL(3,$B$4:Ascension_Mob_Materials43[[#This Row],[Link to Interactive Map]])</f>
        <v>3</v>
      </c>
      <c r="B6" s="225" t="s">
        <v>172</v>
      </c>
      <c r="C6" s="214" t="s">
        <v>195</v>
      </c>
      <c r="D6" s="214" t="s">
        <v>185</v>
      </c>
      <c r="E6" s="214" t="s">
        <v>173</v>
      </c>
      <c r="F6" s="172">
        <v>1.02</v>
      </c>
      <c r="G6" s="221" t="e" vm="10">
        <f>IFERROR(INDEX(MonsterMaterialsImg[3*Icon], MATCH(Ascension_Mob_Materials43[[#This Row],[HelperName3*]], MonsterMaterialsImg[3*Name], 0)), "")</f>
        <v>#VALUE!</v>
      </c>
      <c r="H6" s="222">
        <f>SUMIF(MonsterMaterials[Material Type],Ascension_Mob_Materials43[[#This Row],[3* Mats]],MonsterMaterials[3* (Asc)])</f>
        <v>48</v>
      </c>
      <c r="I6" s="223" t="e" vm="732">
        <f>IFERROR(INDEX(MonsterMaterialsImg[2*Icon], MATCH(Ascension_Mob_Materials43[[#This Row],[HelperName2*]], MonsterMaterialsImg[2*Name], 0)), "")</f>
        <v>#VALUE!</v>
      </c>
      <c r="J6" s="222">
        <f>SUMIF(MonsterMaterials[Material Type],Ascension_Mob_Materials43[[#This Row],[3* Mats]],MonsterMaterials[2* (Asc)])</f>
        <v>0</v>
      </c>
      <c r="K6" s="223" t="e" vm="733">
        <f>IFERROR(INDEX(MonsterMaterialsImg[1*Icon], MATCH(Ascension_Mob_Materials43[[#This Row],[HelperName1*]], MonsterMaterialsImg[1*Name], 0)), "")</f>
        <v>#VALUE!</v>
      </c>
      <c r="L6" s="224">
        <f>SUMIF(MonsterMaterials[Material Type],Ascension_Mob_Materials43[[#This Row],[3* Mats]],MonsterMaterials[1* (Asc)])</f>
        <v>0</v>
      </c>
      <c r="M6" s="221" t="e" vm="10">
        <f>IFERROR(INDEX(MonsterMaterialsImg[3*Icon], MATCH(Ascension_Mob_Materials43[[#This Row],[HelperName3*]], MonsterMaterialsImg[3*Name], 0)), "")</f>
        <v>#VALUE!</v>
      </c>
      <c r="N6" s="222">
        <f>IFERROR(INDEX(MonsterMaterialsInv[3* Quantity], MATCH(Ascension_Mob_Materials43[[#This Row],[3* Mats2]], MonsterMaterialsInv[3* Icon], 0)), "")</f>
        <v>0</v>
      </c>
      <c r="O6" s="223" t="e" vm="732">
        <f>IFERROR(INDEX(MonsterMaterialsImg[2*Icon], MATCH(Ascension_Mob_Materials43[[#This Row],[HelperName2*]], MonsterMaterialsImg[2*Name], 0)), "")</f>
        <v>#VALUE!</v>
      </c>
      <c r="P6" s="222">
        <f>IFERROR(INDEX(MonsterMaterialsInv[2* Quantity], MATCH(Ascension_Mob_Materials43[[#This Row],[2* Mats2]], MonsterMaterialsInv[2* Icon], 0)), "")</f>
        <v>0</v>
      </c>
      <c r="Q6" s="223" t="e" vm="733">
        <f>IFERROR(INDEX(MonsterMaterialsImg[1*Icon], MATCH(Ascension_Mob_Materials43[[#This Row],[HelperName1*]], MonsterMaterialsImg[1*Name], 0)), "")</f>
        <v>#VALUE!</v>
      </c>
      <c r="R6" s="224">
        <f>IFERROR(INDEX(MonsterMaterialsInv[1* Quantity], MATCH(Ascension_Mob_Materials43[[#This Row],[1* Mats2]], MonsterMaterialsInv[1* Icon], 0)), "")</f>
        <v>0</v>
      </c>
      <c r="S6" s="221" t="e" vm="10">
        <f>IFERROR(INDEX(MonsterMaterialsImg[3*Icon], MATCH(Ascension_Mob_Materials43[[#This Row],[HelperName3*]], MonsterMaterialsImg[3*Name], 0)), "")</f>
        <v>#VALUE!</v>
      </c>
      <c r="T6" s="222">
        <f>Ascension_Mob_Materials43[[#This Row],[Need1]]-Ascension_Mob_Materials43[[#This Row],[Acquired1]]</f>
        <v>48</v>
      </c>
      <c r="U6" s="223" t="e" vm="732">
        <f>IFERROR(INDEX(MonsterMaterialsImg[2*Icon], MATCH(Ascension_Mob_Materials43[[#This Row],[HelperName2*]], MonsterMaterialsImg[2*Name], 0)), "")</f>
        <v>#VALUE!</v>
      </c>
      <c r="V6" s="222">
        <f>Ascension_Mob_Materials43[[#This Row],[Column1]]-Ascension_Mob_Materials43[[#This Row],[Acquired12]]</f>
        <v>0</v>
      </c>
      <c r="W6" s="223" t="e" vm="733">
        <f>IFERROR(INDEX(MonsterMaterialsImg[1*Icon], MATCH(Ascension_Mob_Materials43[[#This Row],[HelperName1*]], MonsterMaterialsImg[1*Name], 0)), "")</f>
        <v>#VALUE!</v>
      </c>
      <c r="X6" s="224">
        <f>Ascension_Mob_Materials43[[#This Row],[Need3]]-Ascension_Mob_Materials43[[#This Row],[Acquired13]]</f>
        <v>0</v>
      </c>
    </row>
    <row r="7" spans="1:24" ht="30" customHeight="1" x14ac:dyDescent="0.25">
      <c r="A7" s="161">
        <f>SUBTOTAL(3,$B$4:Ascension_Mob_Materials43[[#This Row],[Link to Interactive Map]])</f>
        <v>4</v>
      </c>
      <c r="B7" s="225" t="s">
        <v>205</v>
      </c>
      <c r="C7" s="214" t="s">
        <v>226</v>
      </c>
      <c r="D7" s="214" t="s">
        <v>216</v>
      </c>
      <c r="E7" s="214" t="s">
        <v>206</v>
      </c>
      <c r="F7" s="172">
        <v>1.03</v>
      </c>
      <c r="G7" s="221" t="e" vm="469">
        <f>IFERROR(INDEX(MonsterMaterialsImg[3*Icon], MATCH(Ascension_Mob_Materials43[[#This Row],[HelperName3*]], MonsterMaterialsImg[3*Name], 0)), "")</f>
        <v>#VALUE!</v>
      </c>
      <c r="H7" s="222">
        <f>SUMIF(MonsterMaterials[Material Type],Ascension_Mob_Materials43[[#This Row],[3* Mats]],MonsterMaterials[3* (Asc)])</f>
        <v>108</v>
      </c>
      <c r="I7" s="223" t="e" vm="736">
        <f>IFERROR(INDEX(MonsterMaterialsImg[2*Icon], MATCH(Ascension_Mob_Materials43[[#This Row],[HelperName2*]], MonsterMaterialsImg[2*Name], 0)), "")</f>
        <v>#VALUE!</v>
      </c>
      <c r="J7" s="222">
        <f>SUMIF(MonsterMaterials[Material Type],Ascension_Mob_Materials43[[#This Row],[3* Mats]],MonsterMaterials[2* (Asc)])</f>
        <v>60</v>
      </c>
      <c r="K7" s="223" t="e" vm="737">
        <f>IFERROR(INDEX(MonsterMaterialsImg[1*Icon], MATCH(Ascension_Mob_Materials43[[#This Row],[HelperName1*]], MonsterMaterialsImg[1*Name], 0)), "")</f>
        <v>#VALUE!</v>
      </c>
      <c r="L7" s="224">
        <f>SUMIF(MonsterMaterials[Material Type],Ascension_Mob_Materials43[[#This Row],[3* Mats]],MonsterMaterials[1* (Asc)])</f>
        <v>30</v>
      </c>
      <c r="M7" s="221" t="e" vm="469">
        <f>IFERROR(INDEX(MonsterMaterialsImg[3*Icon], MATCH(Ascension_Mob_Materials43[[#This Row],[HelperName3*]], MonsterMaterialsImg[3*Name], 0)), "")</f>
        <v>#VALUE!</v>
      </c>
      <c r="N7" s="222">
        <f>IFERROR(INDEX(MonsterMaterialsInv[3* Quantity], MATCH(Ascension_Mob_Materials43[[#This Row],[3* Mats2]], MonsterMaterialsInv[3* Icon], 0)), "")</f>
        <v>0</v>
      </c>
      <c r="O7" s="223" t="e" vm="736">
        <f>IFERROR(INDEX(MonsterMaterialsImg[2*Icon], MATCH(Ascension_Mob_Materials43[[#This Row],[HelperName2*]], MonsterMaterialsImg[2*Name], 0)), "")</f>
        <v>#VALUE!</v>
      </c>
      <c r="P7" s="222">
        <f>IFERROR(INDEX(MonsterMaterialsInv[2* Quantity], MATCH(Ascension_Mob_Materials43[[#This Row],[2* Mats2]], MonsterMaterialsInv[2* Icon], 0)), "")</f>
        <v>0</v>
      </c>
      <c r="Q7" s="223" t="e" vm="737">
        <f>IFERROR(INDEX(MonsterMaterialsImg[1*Icon], MATCH(Ascension_Mob_Materials43[[#This Row],[HelperName1*]], MonsterMaterialsImg[1*Name], 0)), "")</f>
        <v>#VALUE!</v>
      </c>
      <c r="R7" s="224">
        <f>IFERROR(INDEX(MonsterMaterialsInv[1* Quantity], MATCH(Ascension_Mob_Materials43[[#This Row],[1* Mats2]], MonsterMaterialsInv[1* Icon], 0)), "")</f>
        <v>0</v>
      </c>
      <c r="S7" s="221" t="e" vm="469">
        <f>IFERROR(INDEX(MonsterMaterialsImg[3*Icon], MATCH(Ascension_Mob_Materials43[[#This Row],[HelperName3*]], MonsterMaterialsImg[3*Name], 0)), "")</f>
        <v>#VALUE!</v>
      </c>
      <c r="T7" s="222">
        <f>Ascension_Mob_Materials43[[#This Row],[Need1]]-Ascension_Mob_Materials43[[#This Row],[Acquired1]]</f>
        <v>108</v>
      </c>
      <c r="U7" s="223" t="e" vm="736">
        <f>IFERROR(INDEX(MonsterMaterialsImg[2*Icon], MATCH(Ascension_Mob_Materials43[[#This Row],[HelperName2*]], MonsterMaterialsImg[2*Name], 0)), "")</f>
        <v>#VALUE!</v>
      </c>
      <c r="V7" s="222">
        <f>Ascension_Mob_Materials43[[#This Row],[Column1]]-Ascension_Mob_Materials43[[#This Row],[Acquired12]]</f>
        <v>60</v>
      </c>
      <c r="W7" s="223" t="e" vm="737">
        <f>IFERROR(INDEX(MonsterMaterialsImg[1*Icon], MATCH(Ascension_Mob_Materials43[[#This Row],[HelperName1*]], MonsterMaterialsImg[1*Name], 0)), "")</f>
        <v>#VALUE!</v>
      </c>
      <c r="X7" s="224">
        <f>Ascension_Mob_Materials43[[#This Row],[Need3]]-Ascension_Mob_Materials43[[#This Row],[Acquired13]]</f>
        <v>30</v>
      </c>
    </row>
    <row r="8" spans="1:24" ht="30" customHeight="1" x14ac:dyDescent="0.25">
      <c r="A8" s="161">
        <f>SUBTOTAL(3,$B$4:Ascension_Mob_Materials43[[#This Row],[Link to Interactive Map]])</f>
        <v>5</v>
      </c>
      <c r="B8" s="225" t="s">
        <v>237</v>
      </c>
      <c r="C8" s="214" t="s">
        <v>257</v>
      </c>
      <c r="D8" s="214" t="s">
        <v>247</v>
      </c>
      <c r="E8" s="214" t="s">
        <v>238</v>
      </c>
      <c r="F8" s="172">
        <v>1.04</v>
      </c>
      <c r="G8" s="221" t="e" vm="54">
        <f>IFERROR(INDEX(MonsterMaterialsImg[3*Icon], MATCH(Ascension_Mob_Materials43[[#This Row],[HelperName3*]], MonsterMaterialsImg[3*Name], 0)), "")</f>
        <v>#VALUE!</v>
      </c>
      <c r="H8" s="222">
        <f>SUMIF(MonsterMaterials[Material Type],Ascension_Mob_Materials43[[#This Row],[3* Mats]],MonsterMaterials[3* (Asc)])</f>
        <v>204</v>
      </c>
      <c r="I8" s="223" t="e" vm="739">
        <f>IFERROR(INDEX(MonsterMaterialsImg[2*Icon], MATCH(Ascension_Mob_Materials43[[#This Row],[HelperName2*]], MonsterMaterialsImg[2*Name], 0)), "")</f>
        <v>#VALUE!</v>
      </c>
      <c r="J8" s="222">
        <f>SUMIF(MonsterMaterials[Material Type],Ascension_Mob_Materials43[[#This Row],[3* Mats]],MonsterMaterials[2* (Asc)])</f>
        <v>126</v>
      </c>
      <c r="K8" s="223" t="e" vm="740">
        <f>IFERROR(INDEX(MonsterMaterialsImg[1*Icon], MATCH(Ascension_Mob_Materials43[[#This Row],[HelperName1*]], MonsterMaterialsImg[1*Name], 0)), "")</f>
        <v>#VALUE!</v>
      </c>
      <c r="L8" s="224">
        <f>SUMIF(MonsterMaterials[Material Type],Ascension_Mob_Materials43[[#This Row],[3* Mats]],MonsterMaterials[1* (Asc)])</f>
        <v>45</v>
      </c>
      <c r="M8" s="221" t="e" vm="54">
        <f>IFERROR(INDEX(MonsterMaterialsImg[3*Icon], MATCH(Ascension_Mob_Materials43[[#This Row],[HelperName3*]], MonsterMaterialsImg[3*Name], 0)), "")</f>
        <v>#VALUE!</v>
      </c>
      <c r="N8" s="222">
        <f>IFERROR(INDEX(MonsterMaterialsInv[3* Quantity], MATCH(Ascension_Mob_Materials43[[#This Row],[3* Mats2]], MonsterMaterialsInv[3* Icon], 0)), "")</f>
        <v>0</v>
      </c>
      <c r="O8" s="223" t="e" vm="739">
        <f>IFERROR(INDEX(MonsterMaterialsImg[2*Icon], MATCH(Ascension_Mob_Materials43[[#This Row],[HelperName2*]], MonsterMaterialsImg[2*Name], 0)), "")</f>
        <v>#VALUE!</v>
      </c>
      <c r="P8" s="222">
        <f>IFERROR(INDEX(MonsterMaterialsInv[2* Quantity], MATCH(Ascension_Mob_Materials43[[#This Row],[2* Mats2]], MonsterMaterialsInv[2* Icon], 0)), "")</f>
        <v>0</v>
      </c>
      <c r="Q8" s="223" t="e" vm="740">
        <f>IFERROR(INDEX(MonsterMaterialsImg[1*Icon], MATCH(Ascension_Mob_Materials43[[#This Row],[HelperName1*]], MonsterMaterialsImg[1*Name], 0)), "")</f>
        <v>#VALUE!</v>
      </c>
      <c r="R8" s="224">
        <f>IFERROR(INDEX(MonsterMaterialsInv[1* Quantity], MATCH(Ascension_Mob_Materials43[[#This Row],[1* Mats2]], MonsterMaterialsInv[1* Icon], 0)), "")</f>
        <v>0</v>
      </c>
      <c r="S8" s="221" t="e" vm="54">
        <f>IFERROR(INDEX(MonsterMaterialsImg[3*Icon], MATCH(Ascension_Mob_Materials43[[#This Row],[HelperName3*]], MonsterMaterialsImg[3*Name], 0)), "")</f>
        <v>#VALUE!</v>
      </c>
      <c r="T8" s="222">
        <f>Ascension_Mob_Materials43[[#This Row],[Need1]]-Ascension_Mob_Materials43[[#This Row],[Acquired1]]</f>
        <v>204</v>
      </c>
      <c r="U8" s="223" t="e" vm="739">
        <f>IFERROR(INDEX(MonsterMaterialsImg[2*Icon], MATCH(Ascension_Mob_Materials43[[#This Row],[HelperName2*]], MonsterMaterialsImg[2*Name], 0)), "")</f>
        <v>#VALUE!</v>
      </c>
      <c r="V8" s="222">
        <f>Ascension_Mob_Materials43[[#This Row],[Column1]]-Ascension_Mob_Materials43[[#This Row],[Acquired12]]</f>
        <v>126</v>
      </c>
      <c r="W8" s="223" t="e" vm="740">
        <f>IFERROR(INDEX(MonsterMaterialsImg[1*Icon], MATCH(Ascension_Mob_Materials43[[#This Row],[HelperName1*]], MonsterMaterialsImg[1*Name], 0)), "")</f>
        <v>#VALUE!</v>
      </c>
      <c r="X8" s="224">
        <f>Ascension_Mob_Materials43[[#This Row],[Need3]]-Ascension_Mob_Materials43[[#This Row],[Acquired13]]</f>
        <v>45</v>
      </c>
    </row>
    <row r="9" spans="1:24" ht="30" customHeight="1" x14ac:dyDescent="0.25">
      <c r="A9" s="161">
        <f>SUBTOTAL(3,$B$4:Ascension_Mob_Materials43[[#This Row],[Link to Interactive Map]])</f>
        <v>6</v>
      </c>
      <c r="B9" s="225" t="s">
        <v>268</v>
      </c>
      <c r="C9" s="214" t="s">
        <v>288</v>
      </c>
      <c r="D9" s="214" t="s">
        <v>279</v>
      </c>
      <c r="E9" s="214" t="s">
        <v>269</v>
      </c>
      <c r="F9" s="18">
        <v>1.0409999999999999</v>
      </c>
      <c r="G9" s="221" t="e" vm="442">
        <f>IFERROR(INDEX(MonsterMaterialsImg[3*Icon], MATCH(Ascension_Mob_Materials43[[#This Row],[HelperName3*]], MonsterMaterialsImg[3*Name], 0)), "")</f>
        <v>#VALUE!</v>
      </c>
      <c r="H9" s="222">
        <f>SUMIF(MonsterMaterials[Material Type],Ascension_Mob_Materials43[[#This Row],[3* Mats]],MonsterMaterials[3* (Asc)])</f>
        <v>108</v>
      </c>
      <c r="I9" s="223" t="e" vm="743">
        <f>IFERROR(INDEX(MonsterMaterialsImg[2*Icon], MATCH(Ascension_Mob_Materials43[[#This Row],[HelperName2*]], MonsterMaterialsImg[2*Name], 0)), "")</f>
        <v>#VALUE!</v>
      </c>
      <c r="J9" s="222">
        <f>SUMIF(MonsterMaterials[Material Type],Ascension_Mob_Materials43[[#This Row],[3* Mats]],MonsterMaterials[2* (Asc)])</f>
        <v>78</v>
      </c>
      <c r="K9" s="223" t="e" vm="744">
        <f>IFERROR(INDEX(MonsterMaterialsImg[1*Icon], MATCH(Ascension_Mob_Materials43[[#This Row],[HelperName1*]], MonsterMaterialsImg[1*Name], 0)), "")</f>
        <v>#VALUE!</v>
      </c>
      <c r="L9" s="224">
        <f>SUMIF(MonsterMaterials[Material Type],Ascension_Mob_Materials43[[#This Row],[3* Mats]],MonsterMaterials[1* (Asc)])</f>
        <v>30</v>
      </c>
      <c r="M9" s="221" t="e" vm="442">
        <f>IFERROR(INDEX(MonsterMaterialsImg[3*Icon], MATCH(Ascension_Mob_Materials43[[#This Row],[HelperName3*]], MonsterMaterialsImg[3*Name], 0)), "")</f>
        <v>#VALUE!</v>
      </c>
      <c r="N9" s="222">
        <f>IFERROR(INDEX(MonsterMaterialsInv[3* Quantity], MATCH(Ascension_Mob_Materials43[[#This Row],[3* Mats2]], MonsterMaterialsInv[3* Icon], 0)), "")</f>
        <v>0</v>
      </c>
      <c r="O9" s="223" t="e" vm="743">
        <f>IFERROR(INDEX(MonsterMaterialsImg[2*Icon], MATCH(Ascension_Mob_Materials43[[#This Row],[HelperName2*]], MonsterMaterialsImg[2*Name], 0)), "")</f>
        <v>#VALUE!</v>
      </c>
      <c r="P9" s="222">
        <f>IFERROR(INDEX(MonsterMaterialsInv[2* Quantity], MATCH(Ascension_Mob_Materials43[[#This Row],[2* Mats2]], MonsterMaterialsInv[2* Icon], 0)), "")</f>
        <v>0</v>
      </c>
      <c r="Q9" s="223" t="e" vm="744">
        <f>IFERROR(INDEX(MonsterMaterialsImg[1*Icon], MATCH(Ascension_Mob_Materials43[[#This Row],[HelperName1*]], MonsterMaterialsImg[1*Name], 0)), "")</f>
        <v>#VALUE!</v>
      </c>
      <c r="R9" s="224">
        <f>IFERROR(INDEX(MonsterMaterialsInv[1* Quantity], MATCH(Ascension_Mob_Materials43[[#This Row],[1* Mats2]], MonsterMaterialsInv[1* Icon], 0)), "")</f>
        <v>0</v>
      </c>
      <c r="S9" s="221" t="e" vm="442">
        <f>IFERROR(INDEX(MonsterMaterialsImg[3*Icon], MATCH(Ascension_Mob_Materials43[[#This Row],[HelperName3*]], MonsterMaterialsImg[3*Name], 0)), "")</f>
        <v>#VALUE!</v>
      </c>
      <c r="T9" s="222">
        <f>Ascension_Mob_Materials43[[#This Row],[Need1]]-Ascension_Mob_Materials43[[#This Row],[Acquired1]]</f>
        <v>108</v>
      </c>
      <c r="U9" s="223" t="e" vm="743">
        <f>IFERROR(INDEX(MonsterMaterialsImg[2*Icon], MATCH(Ascension_Mob_Materials43[[#This Row],[HelperName2*]], MonsterMaterialsImg[2*Name], 0)), "")</f>
        <v>#VALUE!</v>
      </c>
      <c r="V9" s="222">
        <f>Ascension_Mob_Materials43[[#This Row],[Column1]]-Ascension_Mob_Materials43[[#This Row],[Acquired12]]</f>
        <v>78</v>
      </c>
      <c r="W9" s="223" t="e" vm="744">
        <f>IFERROR(INDEX(MonsterMaterialsImg[1*Icon], MATCH(Ascension_Mob_Materials43[[#This Row],[HelperName1*]], MonsterMaterialsImg[1*Name], 0)), "")</f>
        <v>#VALUE!</v>
      </c>
      <c r="X9" s="224">
        <f>Ascension_Mob_Materials43[[#This Row],[Need3]]-Ascension_Mob_Materials43[[#This Row],[Acquired13]]</f>
        <v>30</v>
      </c>
    </row>
    <row r="10" spans="1:24" ht="30" customHeight="1" x14ac:dyDescent="0.25">
      <c r="A10" s="161">
        <f>SUBTOTAL(3,$B$4:Ascension_Mob_Materials43[[#This Row],[Link to Interactive Map]])</f>
        <v>7</v>
      </c>
      <c r="B10" s="225" t="s">
        <v>298</v>
      </c>
      <c r="C10" s="214" t="s">
        <v>319</v>
      </c>
      <c r="D10" s="214" t="s">
        <v>309</v>
      </c>
      <c r="E10" s="214" t="s">
        <v>299</v>
      </c>
      <c r="F10" s="18">
        <v>1.042</v>
      </c>
      <c r="G10" s="221" t="e" vm="115">
        <f>IFERROR(INDEX(MonsterMaterialsImg[3*Icon], MATCH(Ascension_Mob_Materials43[[#This Row],[HelperName3*]], MonsterMaterialsImg[3*Name], 0)), "")</f>
        <v>#VALUE!</v>
      </c>
      <c r="H10" s="222">
        <f>SUMIF(MonsterMaterials[Material Type],Ascension_Mob_Materials43[[#This Row],[3* Mats]],MonsterMaterials[3* (Asc)])</f>
        <v>72</v>
      </c>
      <c r="I10" s="223" t="e" vm="746">
        <f>IFERROR(INDEX(MonsterMaterialsImg[2*Icon], MATCH(Ascension_Mob_Materials43[[#This Row],[HelperName2*]], MonsterMaterialsImg[2*Name], 0)), "")</f>
        <v>#VALUE!</v>
      </c>
      <c r="J10" s="222">
        <f>SUMIF(MonsterMaterials[Material Type],Ascension_Mob_Materials43[[#This Row],[3* Mats]],MonsterMaterials[2* (Asc)])</f>
        <v>30</v>
      </c>
      <c r="K10" s="223" t="e" vm="747">
        <f>IFERROR(INDEX(MonsterMaterialsImg[1*Icon], MATCH(Ascension_Mob_Materials43[[#This Row],[HelperName1*]], MonsterMaterialsImg[1*Name], 0)), "")</f>
        <v>#VALUE!</v>
      </c>
      <c r="L10" s="224">
        <f>SUMIF(MonsterMaterials[Material Type],Ascension_Mob_Materials43[[#This Row],[3* Mats]],MonsterMaterials[1* (Asc)])</f>
        <v>15</v>
      </c>
      <c r="M10" s="221" t="e" vm="115">
        <f>IFERROR(INDEX(MonsterMaterialsImg[3*Icon], MATCH(Ascension_Mob_Materials43[[#This Row],[HelperName3*]], MonsterMaterialsImg[3*Name], 0)), "")</f>
        <v>#VALUE!</v>
      </c>
      <c r="N10" s="222">
        <f>IFERROR(INDEX(MonsterMaterialsInv[3* Quantity], MATCH(Ascension_Mob_Materials43[[#This Row],[3* Mats2]], MonsterMaterialsInv[3* Icon], 0)), "")</f>
        <v>0</v>
      </c>
      <c r="O10" s="223" t="e" vm="746">
        <f>IFERROR(INDEX(MonsterMaterialsImg[2*Icon], MATCH(Ascension_Mob_Materials43[[#This Row],[HelperName2*]], MonsterMaterialsImg[2*Name], 0)), "")</f>
        <v>#VALUE!</v>
      </c>
      <c r="P10" s="222">
        <f>IFERROR(INDEX(MonsterMaterialsInv[2* Quantity], MATCH(Ascension_Mob_Materials43[[#This Row],[2* Mats2]], MonsterMaterialsInv[2* Icon], 0)), "")</f>
        <v>0</v>
      </c>
      <c r="Q10" s="223" t="e" vm="747">
        <f>IFERROR(INDEX(MonsterMaterialsImg[1*Icon], MATCH(Ascension_Mob_Materials43[[#This Row],[HelperName1*]], MonsterMaterialsImg[1*Name], 0)), "")</f>
        <v>#VALUE!</v>
      </c>
      <c r="R10" s="224">
        <f>IFERROR(INDEX(MonsterMaterialsInv[1* Quantity], MATCH(Ascension_Mob_Materials43[[#This Row],[1* Mats2]], MonsterMaterialsInv[1* Icon], 0)), "")</f>
        <v>0</v>
      </c>
      <c r="S10" s="221" t="e" vm="115">
        <f>IFERROR(INDEX(MonsterMaterialsImg[3*Icon], MATCH(Ascension_Mob_Materials43[[#This Row],[HelperName3*]], MonsterMaterialsImg[3*Name], 0)), "")</f>
        <v>#VALUE!</v>
      </c>
      <c r="T10" s="222">
        <f>Ascension_Mob_Materials43[[#This Row],[Need1]]-Ascension_Mob_Materials43[[#This Row],[Acquired1]]</f>
        <v>72</v>
      </c>
      <c r="U10" s="223" t="e" vm="746">
        <f>IFERROR(INDEX(MonsterMaterialsImg[2*Icon], MATCH(Ascension_Mob_Materials43[[#This Row],[HelperName2*]], MonsterMaterialsImg[2*Name], 0)), "")</f>
        <v>#VALUE!</v>
      </c>
      <c r="V10" s="222">
        <f>Ascension_Mob_Materials43[[#This Row],[Column1]]-Ascension_Mob_Materials43[[#This Row],[Acquired12]]</f>
        <v>30</v>
      </c>
      <c r="W10" s="223" t="e" vm="747">
        <f>IFERROR(INDEX(MonsterMaterialsImg[1*Icon], MATCH(Ascension_Mob_Materials43[[#This Row],[HelperName1*]], MonsterMaterialsImg[1*Name], 0)), "")</f>
        <v>#VALUE!</v>
      </c>
      <c r="X10" s="224">
        <f>Ascension_Mob_Materials43[[#This Row],[Need3]]-Ascension_Mob_Materials43[[#This Row],[Acquired13]]</f>
        <v>15</v>
      </c>
    </row>
    <row r="11" spans="1:24" ht="30" customHeight="1" x14ac:dyDescent="0.25">
      <c r="A11" s="161">
        <f>SUBTOTAL(3,$B$4:Ascension_Mob_Materials43[[#This Row],[Link to Interactive Map]])</f>
        <v>8</v>
      </c>
      <c r="B11" s="225" t="s">
        <v>329</v>
      </c>
      <c r="C11" s="214" t="s">
        <v>350</v>
      </c>
      <c r="D11" s="214" t="s">
        <v>340</v>
      </c>
      <c r="E11" s="214" t="s">
        <v>330</v>
      </c>
      <c r="F11" s="18">
        <v>2</v>
      </c>
      <c r="G11" s="221" t="e" vm="183">
        <f>IFERROR(INDEX(MonsterMaterialsImg[3*Icon], MATCH(Ascension_Mob_Materials43[[#This Row],[HelperName3*]], MonsterMaterialsImg[3*Name], 0)), "")</f>
        <v>#VALUE!</v>
      </c>
      <c r="H11" s="222">
        <f>SUMIF(MonsterMaterials[Material Type],Ascension_Mob_Materials43[[#This Row],[3* Mats]],MonsterMaterials[3* (Asc)])</f>
        <v>0</v>
      </c>
      <c r="I11" s="223" t="e" vm="750">
        <f>IFERROR(INDEX(MonsterMaterialsImg[2*Icon], MATCH(Ascension_Mob_Materials43[[#This Row],[HelperName2*]], MonsterMaterialsImg[2*Name], 0)), "")</f>
        <v>#VALUE!</v>
      </c>
      <c r="J11" s="222">
        <f>SUMIF(MonsterMaterials[Material Type],Ascension_Mob_Materials43[[#This Row],[3* Mats]],MonsterMaterials[2* (Asc)])</f>
        <v>0</v>
      </c>
      <c r="K11" s="223" t="e" vm="751">
        <f>IFERROR(INDEX(MonsterMaterialsImg[1*Icon], MATCH(Ascension_Mob_Materials43[[#This Row],[HelperName1*]], MonsterMaterialsImg[1*Name], 0)), "")</f>
        <v>#VALUE!</v>
      </c>
      <c r="L11" s="224">
        <f>SUMIF(MonsterMaterials[Material Type],Ascension_Mob_Materials43[[#This Row],[3* Mats]],MonsterMaterials[1* (Asc)])</f>
        <v>0</v>
      </c>
      <c r="M11" s="221" t="e" vm="183">
        <f>IFERROR(INDEX(MonsterMaterialsImg[3*Icon], MATCH(Ascension_Mob_Materials43[[#This Row],[HelperName3*]], MonsterMaterialsImg[3*Name], 0)), "")</f>
        <v>#VALUE!</v>
      </c>
      <c r="N11" s="222">
        <f>IFERROR(INDEX(MonsterMaterialsInv[3* Quantity], MATCH(Ascension_Mob_Materials43[[#This Row],[3* Mats2]], MonsterMaterialsInv[3* Icon], 0)), "")</f>
        <v>0</v>
      </c>
      <c r="O11" s="223" t="e" vm="750">
        <f>IFERROR(INDEX(MonsterMaterialsImg[2*Icon], MATCH(Ascension_Mob_Materials43[[#This Row],[HelperName2*]], MonsterMaterialsImg[2*Name], 0)), "")</f>
        <v>#VALUE!</v>
      </c>
      <c r="P11" s="222">
        <f>IFERROR(INDEX(MonsterMaterialsInv[2* Quantity], MATCH(Ascension_Mob_Materials43[[#This Row],[2* Mats2]], MonsterMaterialsInv[2* Icon], 0)), "")</f>
        <v>0</v>
      </c>
      <c r="Q11" s="223" t="e" vm="751">
        <f>IFERROR(INDEX(MonsterMaterialsImg[1*Icon], MATCH(Ascension_Mob_Materials43[[#This Row],[HelperName1*]], MonsterMaterialsImg[1*Name], 0)), "")</f>
        <v>#VALUE!</v>
      </c>
      <c r="R11" s="224">
        <f>IFERROR(INDEX(MonsterMaterialsInv[1* Quantity], MATCH(Ascension_Mob_Materials43[[#This Row],[1* Mats2]], MonsterMaterialsInv[1* Icon], 0)), "")</f>
        <v>0</v>
      </c>
      <c r="S11" s="221" t="e" vm="183">
        <f>IFERROR(INDEX(MonsterMaterialsImg[3*Icon], MATCH(Ascension_Mob_Materials43[[#This Row],[HelperName3*]], MonsterMaterialsImg[3*Name], 0)), "")</f>
        <v>#VALUE!</v>
      </c>
      <c r="T11" s="222">
        <f>Ascension_Mob_Materials43[[#This Row],[Need1]]-Ascension_Mob_Materials43[[#This Row],[Acquired1]]</f>
        <v>0</v>
      </c>
      <c r="U11" s="223" t="e" vm="750">
        <f>IFERROR(INDEX(MonsterMaterialsImg[2*Icon], MATCH(Ascension_Mob_Materials43[[#This Row],[HelperName2*]], MonsterMaterialsImg[2*Name], 0)), "")</f>
        <v>#VALUE!</v>
      </c>
      <c r="V11" s="222">
        <f>Ascension_Mob_Materials43[[#This Row],[Column1]]-Ascension_Mob_Materials43[[#This Row],[Acquired12]]</f>
        <v>0</v>
      </c>
      <c r="W11" s="223" t="e" vm="751">
        <f>IFERROR(INDEX(MonsterMaterialsImg[1*Icon], MATCH(Ascension_Mob_Materials43[[#This Row],[HelperName1*]], MonsterMaterialsImg[1*Name], 0)), "")</f>
        <v>#VALUE!</v>
      </c>
      <c r="X11" s="224">
        <f>Ascension_Mob_Materials43[[#This Row],[Need3]]-Ascension_Mob_Materials43[[#This Row],[Acquired13]]</f>
        <v>0</v>
      </c>
    </row>
    <row r="12" spans="1:24" ht="30" customHeight="1" x14ac:dyDescent="0.25">
      <c r="A12" s="161">
        <f>SUBTOTAL(3,$B$4:Ascension_Mob_Materials43[[#This Row],[Link to Interactive Map]])</f>
        <v>9</v>
      </c>
      <c r="B12" s="225" t="s">
        <v>361</v>
      </c>
      <c r="C12" s="214" t="s">
        <v>381</v>
      </c>
      <c r="D12" s="214" t="s">
        <v>371</v>
      </c>
      <c r="E12" s="214" t="s">
        <v>362</v>
      </c>
      <c r="F12" s="18">
        <v>2.1</v>
      </c>
      <c r="G12" s="221" t="e" vm="75">
        <f>IFERROR(INDEX(MonsterMaterialsImg[3*Icon], MATCH(Ascension_Mob_Materials43[[#This Row],[HelperName3*]], MonsterMaterialsImg[3*Name], 0)), "")</f>
        <v>#VALUE!</v>
      </c>
      <c r="H12" s="222">
        <f>SUMIF(MonsterMaterials[Material Type],Ascension_Mob_Materials43[[#This Row],[3* Mats]],MonsterMaterials[3* (Asc)])</f>
        <v>108</v>
      </c>
      <c r="I12" s="223" t="e" vm="753">
        <f>IFERROR(INDEX(MonsterMaterialsImg[2*Icon], MATCH(Ascension_Mob_Materials43[[#This Row],[HelperName2*]], MonsterMaterialsImg[2*Name], 0)), "")</f>
        <v>#VALUE!</v>
      </c>
      <c r="J12" s="222">
        <f>SUMIF(MonsterMaterials[Material Type],Ascension_Mob_Materials43[[#This Row],[3* Mats]],MonsterMaterials[2* (Asc)])</f>
        <v>90</v>
      </c>
      <c r="K12" s="223" t="e" vm="754">
        <f>IFERROR(INDEX(MonsterMaterialsImg[1*Icon], MATCH(Ascension_Mob_Materials43[[#This Row],[HelperName1*]], MonsterMaterialsImg[1*Name], 0)), "")</f>
        <v>#VALUE!</v>
      </c>
      <c r="L12" s="224">
        <f>SUMIF(MonsterMaterials[Material Type],Ascension_Mob_Materials43[[#This Row],[3* Mats]],MonsterMaterials[1* (Asc)])</f>
        <v>45</v>
      </c>
      <c r="M12" s="221" t="e" vm="75">
        <f>IFERROR(INDEX(MonsterMaterialsImg[3*Icon], MATCH(Ascension_Mob_Materials43[[#This Row],[HelperName3*]], MonsterMaterialsImg[3*Name], 0)), "")</f>
        <v>#VALUE!</v>
      </c>
      <c r="N12" s="222">
        <f>IFERROR(INDEX(MonsterMaterialsInv[3* Quantity], MATCH(Ascension_Mob_Materials43[[#This Row],[3* Mats2]], MonsterMaterialsInv[3* Icon], 0)), "")</f>
        <v>0</v>
      </c>
      <c r="O12" s="223" t="e" vm="753">
        <f>IFERROR(INDEX(MonsterMaterialsImg[2*Icon], MATCH(Ascension_Mob_Materials43[[#This Row],[HelperName2*]], MonsterMaterialsImg[2*Name], 0)), "")</f>
        <v>#VALUE!</v>
      </c>
      <c r="P12" s="222">
        <f>IFERROR(INDEX(MonsterMaterialsInv[2* Quantity], MATCH(Ascension_Mob_Materials43[[#This Row],[2* Mats2]], MonsterMaterialsInv[2* Icon], 0)), "")</f>
        <v>0</v>
      </c>
      <c r="Q12" s="223" t="e" vm="754">
        <f>IFERROR(INDEX(MonsterMaterialsImg[1*Icon], MATCH(Ascension_Mob_Materials43[[#This Row],[HelperName1*]], MonsterMaterialsImg[1*Name], 0)), "")</f>
        <v>#VALUE!</v>
      </c>
      <c r="R12" s="224">
        <f>IFERROR(INDEX(MonsterMaterialsInv[1* Quantity], MATCH(Ascension_Mob_Materials43[[#This Row],[1* Mats2]], MonsterMaterialsInv[1* Icon], 0)), "")</f>
        <v>0</v>
      </c>
      <c r="S12" s="221" t="e" vm="75">
        <f>IFERROR(INDEX(MonsterMaterialsImg[3*Icon], MATCH(Ascension_Mob_Materials43[[#This Row],[HelperName3*]], MonsterMaterialsImg[3*Name], 0)), "")</f>
        <v>#VALUE!</v>
      </c>
      <c r="T12" s="222">
        <f>Ascension_Mob_Materials43[[#This Row],[Need1]]-Ascension_Mob_Materials43[[#This Row],[Acquired1]]</f>
        <v>108</v>
      </c>
      <c r="U12" s="223" t="e" vm="753">
        <f>IFERROR(INDEX(MonsterMaterialsImg[2*Icon], MATCH(Ascension_Mob_Materials43[[#This Row],[HelperName2*]], MonsterMaterialsImg[2*Name], 0)), "")</f>
        <v>#VALUE!</v>
      </c>
      <c r="V12" s="222">
        <f>Ascension_Mob_Materials43[[#This Row],[Column1]]-Ascension_Mob_Materials43[[#This Row],[Acquired12]]</f>
        <v>90</v>
      </c>
      <c r="W12" s="223" t="e" vm="754">
        <f>IFERROR(INDEX(MonsterMaterialsImg[1*Icon], MATCH(Ascension_Mob_Materials43[[#This Row],[HelperName1*]], MonsterMaterialsImg[1*Name], 0)), "")</f>
        <v>#VALUE!</v>
      </c>
      <c r="X12" s="224">
        <f>Ascension_Mob_Materials43[[#This Row],[Need3]]-Ascension_Mob_Materials43[[#This Row],[Acquired13]]</f>
        <v>45</v>
      </c>
    </row>
    <row r="13" spans="1:24" ht="30" customHeight="1" x14ac:dyDescent="0.25">
      <c r="A13" s="161">
        <f>SUBTOTAL(3,$B$4:Ascension_Mob_Materials43[[#This Row],[Link to Interactive Map]])</f>
        <v>10</v>
      </c>
      <c r="B13" s="225" t="s">
        <v>392</v>
      </c>
      <c r="C13" s="214" t="s">
        <v>411</v>
      </c>
      <c r="D13" s="214" t="s">
        <v>403</v>
      </c>
      <c r="E13" s="214" t="s">
        <v>393</v>
      </c>
      <c r="F13" s="18">
        <v>3</v>
      </c>
      <c r="G13" s="221" t="e" vm="271">
        <f>IFERROR(INDEX(MonsterMaterialsImg[3*Icon], MATCH(Ascension_Mob_Materials43[[#This Row],[HelperName3*]], MonsterMaterialsImg[3*Name], 0)), "")</f>
        <v>#VALUE!</v>
      </c>
      <c r="H13" s="222">
        <f>SUMIF(MonsterMaterials[Material Type],Ascension_Mob_Materials43[[#This Row],[3* Mats]],MonsterMaterials[3* (Asc)])</f>
        <v>72</v>
      </c>
      <c r="I13" s="223" t="e" vm="756">
        <f>IFERROR(INDEX(MonsterMaterialsImg[2*Icon], MATCH(Ascension_Mob_Materials43[[#This Row],[HelperName2*]], MonsterMaterialsImg[2*Name], 0)), "")</f>
        <v>#VALUE!</v>
      </c>
      <c r="J13" s="222">
        <f>SUMIF(MonsterMaterials[Material Type],Ascension_Mob_Materials43[[#This Row],[3* Mats]],MonsterMaterials[2* (Asc)])</f>
        <v>60</v>
      </c>
      <c r="K13" s="223" t="e" vm="757">
        <f>IFERROR(INDEX(MonsterMaterialsImg[1*Icon], MATCH(Ascension_Mob_Materials43[[#This Row],[HelperName1*]], MonsterMaterialsImg[1*Name], 0)), "")</f>
        <v>#VALUE!</v>
      </c>
      <c r="L13" s="224">
        <f>SUMIF(MonsterMaterials[Material Type],Ascension_Mob_Materials43[[#This Row],[3* Mats]],MonsterMaterials[1* (Asc)])</f>
        <v>30</v>
      </c>
      <c r="M13" s="221" t="e" vm="271">
        <f>IFERROR(INDEX(MonsterMaterialsImg[3*Icon], MATCH(Ascension_Mob_Materials43[[#This Row],[HelperName3*]], MonsterMaterialsImg[3*Name], 0)), "")</f>
        <v>#VALUE!</v>
      </c>
      <c r="N13" s="222">
        <f>IFERROR(INDEX(MonsterMaterialsInv[3* Quantity], MATCH(Ascension_Mob_Materials43[[#This Row],[3* Mats2]], MonsterMaterialsInv[3* Icon], 0)), "")</f>
        <v>0</v>
      </c>
      <c r="O13" s="223" t="e" vm="756">
        <f>IFERROR(INDEX(MonsterMaterialsImg[2*Icon], MATCH(Ascension_Mob_Materials43[[#This Row],[HelperName2*]], MonsterMaterialsImg[2*Name], 0)), "")</f>
        <v>#VALUE!</v>
      </c>
      <c r="P13" s="222">
        <f>IFERROR(INDEX(MonsterMaterialsInv[2* Quantity], MATCH(Ascension_Mob_Materials43[[#This Row],[2* Mats2]], MonsterMaterialsInv[2* Icon], 0)), "")</f>
        <v>0</v>
      </c>
      <c r="Q13" s="223" t="e" vm="757">
        <f>IFERROR(INDEX(MonsterMaterialsImg[1*Icon], MATCH(Ascension_Mob_Materials43[[#This Row],[HelperName1*]], MonsterMaterialsImg[1*Name], 0)), "")</f>
        <v>#VALUE!</v>
      </c>
      <c r="R13" s="224">
        <f>IFERROR(INDEX(MonsterMaterialsInv[1* Quantity], MATCH(Ascension_Mob_Materials43[[#This Row],[1* Mats2]], MonsterMaterialsInv[1* Icon], 0)), "")</f>
        <v>0</v>
      </c>
      <c r="S13" s="221" t="e" vm="271">
        <f>IFERROR(INDEX(MonsterMaterialsImg[3*Icon], MATCH(Ascension_Mob_Materials43[[#This Row],[HelperName3*]], MonsterMaterialsImg[3*Name], 0)), "")</f>
        <v>#VALUE!</v>
      </c>
      <c r="T13" s="222">
        <f>Ascension_Mob_Materials43[[#This Row],[Need1]]-Ascension_Mob_Materials43[[#This Row],[Acquired1]]</f>
        <v>72</v>
      </c>
      <c r="U13" s="223" t="e" vm="756">
        <f>IFERROR(INDEX(MonsterMaterialsImg[2*Icon], MATCH(Ascension_Mob_Materials43[[#This Row],[HelperName2*]], MonsterMaterialsImg[2*Name], 0)), "")</f>
        <v>#VALUE!</v>
      </c>
      <c r="V13" s="222">
        <f>Ascension_Mob_Materials43[[#This Row],[Column1]]-Ascension_Mob_Materials43[[#This Row],[Acquired12]]</f>
        <v>60</v>
      </c>
      <c r="W13" s="223" t="e" vm="757">
        <f>IFERROR(INDEX(MonsterMaterialsImg[1*Icon], MATCH(Ascension_Mob_Materials43[[#This Row],[HelperName1*]], MonsterMaterialsImg[1*Name], 0)), "")</f>
        <v>#VALUE!</v>
      </c>
      <c r="X13" s="224">
        <f>Ascension_Mob_Materials43[[#This Row],[Need3]]-Ascension_Mob_Materials43[[#This Row],[Acquired13]]</f>
        <v>30</v>
      </c>
    </row>
    <row r="14" spans="1:24" ht="30" customHeight="1" x14ac:dyDescent="0.25">
      <c r="A14" s="161">
        <f>SUBTOTAL(3,$B$4:Ascension_Mob_Materials43[[#This Row],[Link to Interactive Map]])</f>
        <v>11</v>
      </c>
      <c r="B14" s="225" t="s">
        <v>44</v>
      </c>
      <c r="C14" s="214" t="s">
        <v>434</v>
      </c>
      <c r="D14" s="214" t="s">
        <v>427</v>
      </c>
      <c r="E14" s="214" t="s">
        <v>420</v>
      </c>
      <c r="F14" s="18">
        <v>3.01</v>
      </c>
      <c r="G14" s="221" t="e" vm="32">
        <f>IFERROR(INDEX(MonsterMaterialsImg[3*Icon], MATCH(Ascension_Mob_Materials43[[#This Row],[HelperName3*]], MonsterMaterialsImg[3*Name], 0)), "")</f>
        <v>#VALUE!</v>
      </c>
      <c r="H14" s="222">
        <f>SUMIF(MonsterMaterials[Material Type],Ascension_Mob_Materials43[[#This Row],[3* Mats]],MonsterMaterials[3* (Asc)])</f>
        <v>108</v>
      </c>
      <c r="I14" s="223" t="e" vm="760">
        <f>IFERROR(INDEX(MonsterMaterialsImg[2*Icon], MATCH(Ascension_Mob_Materials43[[#This Row],[HelperName2*]], MonsterMaterialsImg[2*Name], 0)), "")</f>
        <v>#VALUE!</v>
      </c>
      <c r="J14" s="222">
        <f>SUMIF(MonsterMaterials[Material Type],Ascension_Mob_Materials43[[#This Row],[3* Mats]],MonsterMaterials[2* (Asc)])</f>
        <v>78</v>
      </c>
      <c r="K14" s="223" t="e" vm="761">
        <f>IFERROR(INDEX(MonsterMaterialsImg[1*Icon], MATCH(Ascension_Mob_Materials43[[#This Row],[HelperName1*]], MonsterMaterialsImg[1*Name], 0)), "")</f>
        <v>#VALUE!</v>
      </c>
      <c r="L14" s="224">
        <f>SUMIF(MonsterMaterials[Material Type],Ascension_Mob_Materials43[[#This Row],[3* Mats]],MonsterMaterials[1* (Asc)])</f>
        <v>33</v>
      </c>
      <c r="M14" s="221" t="e" vm="32">
        <f>IFERROR(INDEX(MonsterMaterialsImg[3*Icon], MATCH(Ascension_Mob_Materials43[[#This Row],[HelperName3*]], MonsterMaterialsImg[3*Name], 0)), "")</f>
        <v>#VALUE!</v>
      </c>
      <c r="N14" s="222">
        <f>IFERROR(INDEX(MonsterMaterialsInv[3* Quantity], MATCH(Ascension_Mob_Materials43[[#This Row],[3* Mats2]], MonsterMaterialsInv[3* Icon], 0)), "")</f>
        <v>0</v>
      </c>
      <c r="O14" s="223" t="e" vm="760">
        <f>IFERROR(INDEX(MonsterMaterialsImg[2*Icon], MATCH(Ascension_Mob_Materials43[[#This Row],[HelperName2*]], MonsterMaterialsImg[2*Name], 0)), "")</f>
        <v>#VALUE!</v>
      </c>
      <c r="P14" s="222">
        <f>IFERROR(INDEX(MonsterMaterialsInv[2* Quantity], MATCH(Ascension_Mob_Materials43[[#This Row],[2* Mats2]], MonsterMaterialsInv[2* Icon], 0)), "")</f>
        <v>0</v>
      </c>
      <c r="Q14" s="223" t="e" vm="761">
        <f>IFERROR(INDEX(MonsterMaterialsImg[1*Icon], MATCH(Ascension_Mob_Materials43[[#This Row],[HelperName1*]], MonsterMaterialsImg[1*Name], 0)), "")</f>
        <v>#VALUE!</v>
      </c>
      <c r="R14" s="224">
        <f>IFERROR(INDEX(MonsterMaterialsInv[1* Quantity], MATCH(Ascension_Mob_Materials43[[#This Row],[1* Mats2]], MonsterMaterialsInv[1* Icon], 0)), "")</f>
        <v>0</v>
      </c>
      <c r="S14" s="221" t="e" vm="32">
        <f>IFERROR(INDEX(MonsterMaterialsImg[3*Icon], MATCH(Ascension_Mob_Materials43[[#This Row],[HelperName3*]], MonsterMaterialsImg[3*Name], 0)), "")</f>
        <v>#VALUE!</v>
      </c>
      <c r="T14" s="222">
        <f>Ascension_Mob_Materials43[[#This Row],[Need1]]-Ascension_Mob_Materials43[[#This Row],[Acquired1]]</f>
        <v>108</v>
      </c>
      <c r="U14" s="223" t="e" vm="760">
        <f>IFERROR(INDEX(MonsterMaterialsImg[2*Icon], MATCH(Ascension_Mob_Materials43[[#This Row],[HelperName2*]], MonsterMaterialsImg[2*Name], 0)), "")</f>
        <v>#VALUE!</v>
      </c>
      <c r="V14" s="222">
        <f>Ascension_Mob_Materials43[[#This Row],[Column1]]-Ascension_Mob_Materials43[[#This Row],[Acquired12]]</f>
        <v>78</v>
      </c>
      <c r="W14" s="223" t="e" vm="761">
        <f>IFERROR(INDEX(MonsterMaterialsImg[1*Icon], MATCH(Ascension_Mob_Materials43[[#This Row],[HelperName1*]], MonsterMaterialsImg[1*Name], 0)), "")</f>
        <v>#VALUE!</v>
      </c>
      <c r="X14" s="224">
        <f>Ascension_Mob_Materials43[[#This Row],[Need3]]-Ascension_Mob_Materials43[[#This Row],[Acquired13]]</f>
        <v>33</v>
      </c>
    </row>
    <row r="15" spans="1:24" ht="30" customHeight="1" x14ac:dyDescent="0.25">
      <c r="A15" s="161">
        <f>SUBTOTAL(3,$B$4:Ascension_Mob_Materials43[[#This Row],[Link to Interactive Map]])</f>
        <v>12</v>
      </c>
      <c r="B15" s="225" t="s">
        <v>440</v>
      </c>
      <c r="C15" s="214" t="s">
        <v>453</v>
      </c>
      <c r="D15" s="214" t="s">
        <v>447</v>
      </c>
      <c r="E15" s="214" t="s">
        <v>441</v>
      </c>
      <c r="F15" s="18">
        <v>4</v>
      </c>
      <c r="G15" s="221" t="e" vm="95">
        <f>IFERROR(INDEX(MonsterMaterialsImg[3*Icon], MATCH(Ascension_Mob_Materials43[[#This Row],[HelperName3*]], MonsterMaterialsImg[3*Name], 0)), "")</f>
        <v>#VALUE!</v>
      </c>
      <c r="H15" s="222">
        <f>SUMIF(MonsterMaterials[Material Type],Ascension_Mob_Materials43[[#This Row],[3* Mats]],MonsterMaterials[3* (Asc)])</f>
        <v>36</v>
      </c>
      <c r="I15" s="223" t="e" vm="764">
        <f>IFERROR(INDEX(MonsterMaterialsImg[2*Icon], MATCH(Ascension_Mob_Materials43[[#This Row],[HelperName2*]], MonsterMaterialsImg[2*Name], 0)), "")</f>
        <v>#VALUE!</v>
      </c>
      <c r="J15" s="222">
        <f>SUMIF(MonsterMaterials[Material Type],Ascension_Mob_Materials43[[#This Row],[3* Mats]],MonsterMaterials[2* (Asc)])</f>
        <v>30</v>
      </c>
      <c r="K15" s="223" t="e" vm="765">
        <f>IFERROR(INDEX(MonsterMaterialsImg[1*Icon], MATCH(Ascension_Mob_Materials43[[#This Row],[HelperName1*]], MonsterMaterialsImg[1*Name], 0)), "")</f>
        <v>#VALUE!</v>
      </c>
      <c r="L15" s="224">
        <f>SUMIF(MonsterMaterials[Material Type],Ascension_Mob_Materials43[[#This Row],[3* Mats]],MonsterMaterials[1* (Asc)])</f>
        <v>15</v>
      </c>
      <c r="M15" s="221" t="e" vm="95">
        <f>IFERROR(INDEX(MonsterMaterialsImg[3*Icon], MATCH(Ascension_Mob_Materials43[[#This Row],[HelperName3*]], MonsterMaterialsImg[3*Name], 0)), "")</f>
        <v>#VALUE!</v>
      </c>
      <c r="N15" s="222">
        <f>IFERROR(INDEX(MonsterMaterialsInv[3* Quantity], MATCH(Ascension_Mob_Materials43[[#This Row],[3* Mats2]], MonsterMaterialsInv[3* Icon], 0)), "")</f>
        <v>0</v>
      </c>
      <c r="O15" s="223" t="e" vm="764">
        <f>IFERROR(INDEX(MonsterMaterialsImg[2*Icon], MATCH(Ascension_Mob_Materials43[[#This Row],[HelperName2*]], MonsterMaterialsImg[2*Name], 0)), "")</f>
        <v>#VALUE!</v>
      </c>
      <c r="P15" s="222">
        <f>IFERROR(INDEX(MonsterMaterialsInv[2* Quantity], MATCH(Ascension_Mob_Materials43[[#This Row],[2* Mats2]], MonsterMaterialsInv[2* Icon], 0)), "")</f>
        <v>0</v>
      </c>
      <c r="Q15" s="223" t="e" vm="765">
        <f>IFERROR(INDEX(MonsterMaterialsImg[1*Icon], MATCH(Ascension_Mob_Materials43[[#This Row],[HelperName1*]], MonsterMaterialsImg[1*Name], 0)), "")</f>
        <v>#VALUE!</v>
      </c>
      <c r="R15" s="224">
        <f>IFERROR(INDEX(MonsterMaterialsInv[1* Quantity], MATCH(Ascension_Mob_Materials43[[#This Row],[1* Mats2]], MonsterMaterialsInv[1* Icon], 0)), "")</f>
        <v>0</v>
      </c>
      <c r="S15" s="221" t="e" vm="95">
        <f>IFERROR(INDEX(MonsterMaterialsImg[3*Icon], MATCH(Ascension_Mob_Materials43[[#This Row],[HelperName3*]], MonsterMaterialsImg[3*Name], 0)), "")</f>
        <v>#VALUE!</v>
      </c>
      <c r="T15" s="222">
        <f>Ascension_Mob_Materials43[[#This Row],[Need1]]-Ascension_Mob_Materials43[[#This Row],[Acquired1]]</f>
        <v>36</v>
      </c>
      <c r="U15" s="223" t="e" vm="764">
        <f>IFERROR(INDEX(MonsterMaterialsImg[2*Icon], MATCH(Ascension_Mob_Materials43[[#This Row],[HelperName2*]], MonsterMaterialsImg[2*Name], 0)), "")</f>
        <v>#VALUE!</v>
      </c>
      <c r="V15" s="222">
        <f>Ascension_Mob_Materials43[[#This Row],[Column1]]-Ascension_Mob_Materials43[[#This Row],[Acquired12]]</f>
        <v>30</v>
      </c>
      <c r="W15" s="223" t="e" vm="765">
        <f>IFERROR(INDEX(MonsterMaterialsImg[1*Icon], MATCH(Ascension_Mob_Materials43[[#This Row],[HelperName1*]], MonsterMaterialsImg[1*Name], 0)), "")</f>
        <v>#VALUE!</v>
      </c>
      <c r="X15" s="224">
        <f>Ascension_Mob_Materials43[[#This Row],[Need3]]-Ascension_Mob_Materials43[[#This Row],[Acquired13]]</f>
        <v>15</v>
      </c>
    </row>
    <row r="16" spans="1:24" ht="30" customHeight="1" thickBot="1" x14ac:dyDescent="0.3">
      <c r="A16" s="161">
        <f>SUBTOTAL(3,$B$4:Ascension_Mob_Materials43[[#This Row],[Link to Interactive Map]])</f>
        <v>13</v>
      </c>
      <c r="B16" s="225" t="s">
        <v>458</v>
      </c>
      <c r="C16" s="214" t="s">
        <v>471</v>
      </c>
      <c r="D16" s="214" t="s">
        <v>465</v>
      </c>
      <c r="E16" s="214" t="s">
        <v>459</v>
      </c>
      <c r="F16" s="18">
        <v>4.01</v>
      </c>
      <c r="G16" s="221" t="e" vm="260">
        <f>IFERROR(INDEX(MonsterMaterialsImg[3*Icon], MATCH(Ascension_Mob_Materials43[[#This Row],[HelperName3*]], MonsterMaterialsImg[3*Name], 0)), "")</f>
        <v>#VALUE!</v>
      </c>
      <c r="H16" s="222">
        <f>SUMIF(MonsterMaterials[Material Type],Ascension_Mob_Materials43[[#This Row],[3* Mats]],MonsterMaterials[3* (Asc)])</f>
        <v>36</v>
      </c>
      <c r="I16" s="223" t="e" vm="766">
        <f>IFERROR(INDEX(MonsterMaterialsImg[2*Icon], MATCH(Ascension_Mob_Materials43[[#This Row],[HelperName2*]], MonsterMaterialsImg[2*Name], 0)), "")</f>
        <v>#VALUE!</v>
      </c>
      <c r="J16" s="222">
        <f>SUMIF(MonsterMaterials[Material Type],Ascension_Mob_Materials43[[#This Row],[3* Mats]],MonsterMaterials[2* (Asc)])</f>
        <v>30</v>
      </c>
      <c r="K16" s="223" t="e" vm="767">
        <f>IFERROR(INDEX(MonsterMaterialsImg[1*Icon], MATCH(Ascension_Mob_Materials43[[#This Row],[HelperName1*]], MonsterMaterialsImg[1*Name], 0)), "")</f>
        <v>#VALUE!</v>
      </c>
      <c r="L16" s="224">
        <f>SUMIF(MonsterMaterials[Material Type],Ascension_Mob_Materials43[[#This Row],[3* Mats]],MonsterMaterials[1* (Asc)])</f>
        <v>15</v>
      </c>
      <c r="M16" s="221" t="e" vm="260">
        <f>IFERROR(INDEX(MonsterMaterialsImg[3*Icon], MATCH(Ascension_Mob_Materials43[[#This Row],[HelperName3*]], MonsterMaterialsImg[3*Name], 0)), "")</f>
        <v>#VALUE!</v>
      </c>
      <c r="N16" s="222">
        <f>IFERROR(INDEX(MonsterMaterialsInv[3* Quantity], MATCH(Ascension_Mob_Materials43[[#This Row],[3* Mats2]], MonsterMaterialsInv[3* Icon], 0)), "")</f>
        <v>0</v>
      </c>
      <c r="O16" s="223" t="e" vm="766">
        <f>IFERROR(INDEX(MonsterMaterialsImg[2*Icon], MATCH(Ascension_Mob_Materials43[[#This Row],[HelperName2*]], MonsterMaterialsImg[2*Name], 0)), "")</f>
        <v>#VALUE!</v>
      </c>
      <c r="P16" s="222">
        <f>IFERROR(INDEX(MonsterMaterialsInv[2* Quantity], MATCH(Ascension_Mob_Materials43[[#This Row],[2* Mats2]], MonsterMaterialsInv[2* Icon], 0)), "")</f>
        <v>0</v>
      </c>
      <c r="Q16" s="223" t="e" vm="767">
        <f>IFERROR(INDEX(MonsterMaterialsImg[1*Icon], MATCH(Ascension_Mob_Materials43[[#This Row],[HelperName1*]], MonsterMaterialsImg[1*Name], 0)), "")</f>
        <v>#VALUE!</v>
      </c>
      <c r="R16" s="224">
        <f>IFERROR(INDEX(MonsterMaterialsInv[1* Quantity], MATCH(Ascension_Mob_Materials43[[#This Row],[1* Mats2]], MonsterMaterialsInv[1* Icon], 0)), "")</f>
        <v>0</v>
      </c>
      <c r="S16" s="221" t="e" vm="260">
        <f>IFERROR(INDEX(MonsterMaterialsImg[3*Icon], MATCH(Ascension_Mob_Materials43[[#This Row],[HelperName3*]], MonsterMaterialsImg[3*Name], 0)), "")</f>
        <v>#VALUE!</v>
      </c>
      <c r="T16" s="222">
        <f>Ascension_Mob_Materials43[[#This Row],[Need1]]-Ascension_Mob_Materials43[[#This Row],[Acquired1]]</f>
        <v>36</v>
      </c>
      <c r="U16" s="223" t="e" vm="766">
        <f>IFERROR(INDEX(MonsterMaterialsImg[2*Icon], MATCH(Ascension_Mob_Materials43[[#This Row],[HelperName2*]], MonsterMaterialsImg[2*Name], 0)), "")</f>
        <v>#VALUE!</v>
      </c>
      <c r="V16" s="222">
        <f>Ascension_Mob_Materials43[[#This Row],[Column1]]-Ascension_Mob_Materials43[[#This Row],[Acquired12]]</f>
        <v>30</v>
      </c>
      <c r="W16" s="223" t="e" vm="767">
        <f>IFERROR(INDEX(MonsterMaterialsImg[1*Icon], MATCH(Ascension_Mob_Materials43[[#This Row],[HelperName1*]], MonsterMaterialsImg[1*Name], 0)), "")</f>
        <v>#VALUE!</v>
      </c>
      <c r="X16" s="224">
        <f>Ascension_Mob_Materials43[[#This Row],[Need3]]-Ascension_Mob_Materials43[[#This Row],[Acquired13]]</f>
        <v>15</v>
      </c>
    </row>
    <row r="17" spans="1:24" ht="30" customHeight="1" thickBot="1" x14ac:dyDescent="0.3">
      <c r="A17" s="175" t="s">
        <v>758</v>
      </c>
      <c r="B17" s="176"/>
      <c r="C17" s="176"/>
      <c r="D17" s="176"/>
      <c r="E17" s="176"/>
      <c r="F17" s="177"/>
      <c r="G17" s="175"/>
      <c r="H17" s="176">
        <f>SUBTOTAL(109,Ascension_Mob_Materials43[Need1])</f>
        <v>1176</v>
      </c>
      <c r="I17" s="176"/>
      <c r="J17" s="176">
        <f>SUBTOTAL(109,Ascension_Mob_Materials43[Column1])</f>
        <v>780</v>
      </c>
      <c r="K17" s="176"/>
      <c r="L17" s="177">
        <f>SUBTOTAL(109,Ascension_Mob_Materials43[Need3])</f>
        <v>333</v>
      </c>
      <c r="M17" s="175"/>
      <c r="N17" s="176">
        <f>SUBTOTAL(109,Ascension_Mob_Materials43[Acquired1])</f>
        <v>0</v>
      </c>
      <c r="O17" s="176"/>
      <c r="P17" s="176">
        <f>SUBTOTAL(109,Ascension_Mob_Materials43[Acquired12])</f>
        <v>0</v>
      </c>
      <c r="Q17" s="176"/>
      <c r="R17" s="177">
        <f>SUBTOTAL(109,Ascension_Mob_Materials43[Acquired13])</f>
        <v>0</v>
      </c>
      <c r="S17" s="175"/>
      <c r="T17" s="176">
        <f>SUBTOTAL(109,Ascension_Mob_Materials43[Remaining1])</f>
        <v>1176</v>
      </c>
      <c r="U17" s="176"/>
      <c r="V17" s="176">
        <f>SUBTOTAL(109,Ascension_Mob_Materials43[Remaining2])</f>
        <v>780</v>
      </c>
      <c r="W17" s="176"/>
      <c r="X17" s="177">
        <f>SUBTOTAL(109,Ascension_Mob_Materials43[Remaining3])</f>
        <v>333</v>
      </c>
    </row>
    <row r="18" spans="1:24" ht="30" customHeight="1" x14ac:dyDescent="0.25"/>
    <row r="19" spans="1:24" ht="30" customHeight="1" x14ac:dyDescent="0.25"/>
    <row r="20" spans="1:24" ht="30" customHeight="1" x14ac:dyDescent="0.25"/>
    <row r="21" spans="1:24" ht="30" customHeight="1" x14ac:dyDescent="0.25"/>
    <row r="22" spans="1:24" ht="30" customHeight="1" x14ac:dyDescent="0.25"/>
    <row r="23" spans="1:24" ht="30" customHeight="1" x14ac:dyDescent="0.25"/>
    <row r="24" spans="1:24" ht="30" customHeight="1" x14ac:dyDescent="0.25"/>
    <row r="25" spans="1:24" ht="30" customHeight="1" x14ac:dyDescent="0.25"/>
    <row r="26" spans="1:24" ht="30" customHeight="1" x14ac:dyDescent="0.25"/>
    <row r="27" spans="1:24" ht="30" customHeight="1" x14ac:dyDescent="0.25"/>
    <row r="28" spans="1:24" ht="30" customHeight="1" x14ac:dyDescent="0.25"/>
    <row r="29" spans="1:24" ht="30" customHeight="1" x14ac:dyDescent="0.25"/>
    <row r="30" spans="1:24" ht="30" customHeight="1" x14ac:dyDescent="0.25"/>
    <row r="31" spans="1:24" ht="30" customHeight="1" x14ac:dyDescent="0.25"/>
    <row r="32" spans="1:24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  <row r="38" ht="30" customHeight="1" x14ac:dyDescent="0.25"/>
    <row r="39" ht="30" customHeight="1" x14ac:dyDescent="0.25"/>
    <row r="40" ht="30" customHeight="1" x14ac:dyDescent="0.25"/>
    <row r="41" ht="30" customHeight="1" x14ac:dyDescent="0.25"/>
    <row r="42" ht="30" customHeight="1" x14ac:dyDescent="0.25"/>
    <row r="43" ht="30" customHeight="1" x14ac:dyDescent="0.25"/>
    <row r="44" ht="30" customHeight="1" x14ac:dyDescent="0.25"/>
    <row r="45" ht="30" customHeight="1" x14ac:dyDescent="0.25"/>
    <row r="46" ht="30" customHeight="1" x14ac:dyDescent="0.25"/>
  </sheetData>
  <mergeCells count="4">
    <mergeCell ref="A1:X1"/>
    <mergeCell ref="G2:L2"/>
    <mergeCell ref="M2:R2"/>
    <mergeCell ref="S2:X2"/>
  </mergeCells>
  <phoneticPr fontId="4" type="noConversion"/>
  <hyperlinks>
    <hyperlink ref="B4" r:id="rId1" location="/map/2?center=1537.77,-3496.18&amp;zoom=-3.00&amp;shown_types=55" xr:uid="{BA9F970C-08AE-4699-9873-7BCE1CD7079D}"/>
    <hyperlink ref="B5" r:id="rId2" location="/map/2?center=1418.03,-3432.07&amp;zoom=-3.00&amp;shown_types=56" xr:uid="{92175A30-6968-46A6-A94A-B36829B1F636}"/>
    <hyperlink ref="B6" r:id="rId3" location="/map/2?center=1418.03,-3432.07&amp;zoom=-3.00&amp;shown_types=57" xr:uid="{F569CC8C-EEF2-47DF-AE30-AF1FEC478262}"/>
    <hyperlink ref="B7" r:id="rId4" location="/map/2?center=1418.03,-3432.07&amp;zoom=-3.00&amp;shown_types=59" xr:uid="{1BB2850E-9A96-4487-8EC4-78E113E14460}"/>
    <hyperlink ref="B8" r:id="rId5" location="/map/2?center=1418.03,-3432.07&amp;zoom=-3.00&amp;shown_types=58" xr:uid="{5940C17A-D608-4D33-8786-19F27B493DD2}"/>
    <hyperlink ref="B9" r:id="rId6" location="/map/2?center=1418.03,-3432.07&amp;zoom=-3.00&amp;shown_types=54" xr:uid="{B64EEDA0-EE4A-4E92-B313-C382DD4C3898}"/>
    <hyperlink ref="B10" r:id="rId7" location="/map/2?center=1418.03,-3432.07&amp;zoom=-3.00&amp;shown_types=47" xr:uid="{6C35C2AA-0B55-431B-BFBF-912B8234E69A}"/>
    <hyperlink ref="B11" r:id="rId8" location="/map/2?center=5645.95,1894.00&amp;zoom=-2.00&amp;shown_types=209" xr:uid="{59711692-D316-4D49-BAE5-FCB0013DAA53}"/>
    <hyperlink ref="B12" r:id="rId9" location="/map/2?center=7418.19,1342.03&amp;zoom=-2.00&amp;shown_types=229" xr:uid="{5889ACAE-406A-4244-8632-67B9740C054C}"/>
    <hyperlink ref="B13" r:id="rId10" location="/map/2?center=3288.46,-5818.37&amp;zoom=-2.00&amp;shown_types=221" xr:uid="{242446A1-8821-49B1-BA70-BE4DAFAC77CD}"/>
    <hyperlink ref="B14" r:id="rId11" location="/map/2?center=3284.46,-5874.37&amp;zoom=-2.00&amp;shown_types=389" xr:uid="{181FA1BC-1EC3-44BE-A440-C65EA4BB6772}"/>
    <hyperlink ref="B15" r:id="rId12" location="/map/2?center=-861.27,-5506.35&amp;zoom=-2.00&amp;shown_types=493" xr:uid="{5C584D84-0434-4709-8551-C19CCEAE3B23}"/>
    <hyperlink ref="B16" r:id="rId13" location="/map/2?center=-861.27,-5506.35&amp;zoom=-2.00&amp;shown_types=494" xr:uid="{E92781D2-618B-46B1-96D7-D9D170E6B6C9}"/>
  </hyperlinks>
  <pageMargins left="0.7" right="0.7" top="0.75" bottom="0.75" header="0.3" footer="0.3"/>
  <tableParts count="1">
    <tablePart r:id="rId1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C3A983E-B9F0-43A0-A80D-3E1D6C94FFC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</vt:i4>
      </vt:variant>
    </vt:vector>
  </HeadingPairs>
  <TitlesOfParts>
    <vt:vector size="24" baseType="lpstr">
      <vt:lpstr>Add New</vt:lpstr>
      <vt:lpstr>LevelDatabase</vt:lpstr>
      <vt:lpstr>ImgDatabase</vt:lpstr>
      <vt:lpstr>Inventory</vt:lpstr>
      <vt:lpstr>Summary</vt:lpstr>
      <vt:lpstr>World Boss</vt:lpstr>
      <vt:lpstr>Talent Books</vt:lpstr>
      <vt:lpstr>Weekly Boss</vt:lpstr>
      <vt:lpstr>Local Specialties</vt:lpstr>
      <vt:lpstr>Ascension Stones</vt:lpstr>
      <vt:lpstr>Monster Materials</vt:lpstr>
      <vt:lpstr>'Ascension Stones'!Extract</vt:lpstr>
      <vt:lpstr>'Local Specialties'!Extract</vt:lpstr>
      <vt:lpstr>'Monster Materials'!Extract</vt:lpstr>
      <vt:lpstr>Summary!Extract</vt:lpstr>
      <vt:lpstr>'Weekly Boss'!Extract</vt:lpstr>
      <vt:lpstr>'Ascension Stones'!HerosWits</vt:lpstr>
      <vt:lpstr>'Monster Materials'!HerosWits</vt:lpstr>
      <vt:lpstr>Summary!HerosWits</vt:lpstr>
      <vt:lpstr>HerosWits</vt:lpstr>
      <vt:lpstr>'Ascension Stones'!Levels</vt:lpstr>
      <vt:lpstr>'Monster Materials'!Levels</vt:lpstr>
      <vt:lpstr>Summary!Levels</vt:lpstr>
      <vt:lpstr>Levels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Cryp7iC</dc:creator>
  <cp:keywords/>
  <dc:description/>
  <cp:lastModifiedBy>Emon Hasan Nayeem</cp:lastModifiedBy>
  <cp:revision/>
  <dcterms:created xsi:type="dcterms:W3CDTF">2023-12-16T11:28:58Z</dcterms:created>
  <dcterms:modified xsi:type="dcterms:W3CDTF">2024-06-18T10:09:17Z</dcterms:modified>
  <cp:category/>
  <cp:contentStatus/>
</cp:coreProperties>
</file>