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2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3.xml" ContentType="application/vnd.openxmlformats-officedocument.drawing+xml"/>
  <Override PartName="/xl/tables/table4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18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2a8569665ea6b19/"/>
    </mc:Choice>
  </mc:AlternateContent>
  <xr:revisionPtr revIDLastSave="629" documentId="13_ncr:1_{4AA165F9-F3FC-433E-8FA4-0977666CB4DD}" xr6:coauthVersionLast="47" xr6:coauthVersionMax="47" xr10:uidLastSave="{6E367ABF-07EF-4C41-BDCD-1D8F0AA1BA22}"/>
  <bookViews>
    <workbookView xWindow="1830" yWindow="-120" windowWidth="27090" windowHeight="16440" tabRatio="791" firstSheet="4" activeTab="4" xr2:uid="{C2EEDF8B-CFD1-44BD-8DA3-27C98B467CAB}"/>
  </bookViews>
  <sheets>
    <sheet name="Add New" sheetId="8" state="hidden" r:id="rId1"/>
    <sheet name="LevelDatabase" sheetId="10" state="hidden" r:id="rId2"/>
    <sheet name="ImgDatabase" sheetId="13" state="hidden" r:id="rId3"/>
    <sheet name="Inventory" sheetId="12" r:id="rId4"/>
    <sheet name="Summary" sheetId="15" r:id="rId5"/>
    <sheet name="World Boss" sheetId="3" r:id="rId6"/>
    <sheet name="Talent Books" sheetId="4" r:id="rId7"/>
    <sheet name="Weekly Boss" sheetId="5" r:id="rId8"/>
    <sheet name="Local Specialties" sheetId="7" r:id="rId9"/>
    <sheet name="Ascension Stones" sheetId="18" r:id="rId10"/>
    <sheet name="Monster Materials" sheetId="17" r:id="rId11"/>
  </sheets>
  <definedNames>
    <definedName name="_xlnm._FilterDatabase" localSheetId="0" hidden="1">'Add New'!#REF!</definedName>
    <definedName name="_xlnm._FilterDatabase" localSheetId="4" hidden="1">Summary!$A$1:$AE$99</definedName>
    <definedName name="_xlnm._FilterDatabase" localSheetId="6" hidden="1">'Talent Books'!$K$8:$K$73</definedName>
    <definedName name="_xlnm._FilterDatabase" localSheetId="5" hidden="1">'World Boss'!$A$2:$G$33</definedName>
    <definedName name="_xlnm.Extract" localSheetId="9">'Weekly Boss'!$D$3</definedName>
    <definedName name="_xlnm.Extract" localSheetId="8">'Weekly Boss'!$D$3</definedName>
    <definedName name="_xlnm.Extract" localSheetId="10">'Weekly Boss'!$D$3</definedName>
    <definedName name="_xlnm.Extract" localSheetId="4">'World Boss'!$C$3</definedName>
    <definedName name="_xlnm.Extract" localSheetId="6">'Talent Books'!#REF!</definedName>
    <definedName name="_xlnm.Extract" localSheetId="7">'Weekly Boss'!$D$3</definedName>
    <definedName name="HerosWits" localSheetId="9">CharacterDatabase[HerosWits]</definedName>
    <definedName name="HerosWits" localSheetId="10">CharacterDatabase[HerosWits]</definedName>
    <definedName name="HerosWits" localSheetId="4">CharacterDatabase[HerosWits]</definedName>
    <definedName name="HerosWits">CharacterDatabase[HerosWits]</definedName>
    <definedName name="Levels" localSheetId="9">CharacterDatabase[Levels]</definedName>
    <definedName name="Levels" localSheetId="10">CharacterDatabase[Levels]</definedName>
    <definedName name="Levels" localSheetId="4">CharacterDatabase[Levels]</definedName>
    <definedName name="Levels">CharacterDatabase[Levels]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5" l="1"/>
  <c r="BC3" i="13"/>
  <c r="BC4" i="13"/>
  <c r="BC5" i="13"/>
  <c r="BC6" i="13"/>
  <c r="BC7" i="13"/>
  <c r="BC8" i="13"/>
  <c r="BC9" i="13"/>
  <c r="BC10" i="13"/>
  <c r="BC11" i="13"/>
  <c r="BC12" i="13"/>
  <c r="BC13" i="13"/>
  <c r="BC14" i="13"/>
  <c r="BC15" i="13"/>
  <c r="BC16" i="13"/>
  <c r="BC17" i="13"/>
  <c r="BC18" i="13"/>
  <c r="BC19" i="13"/>
  <c r="BC20" i="13"/>
  <c r="BC21" i="13"/>
  <c r="BC22" i="13"/>
  <c r="BC23" i="13"/>
  <c r="BC24" i="13"/>
  <c r="BC25" i="13"/>
  <c r="BC26" i="13"/>
  <c r="BC27" i="13"/>
  <c r="BC28" i="13"/>
  <c r="BC29" i="13"/>
  <c r="BC30" i="13"/>
  <c r="BC31" i="13"/>
  <c r="BC32" i="13"/>
  <c r="BC33" i="13"/>
  <c r="BC34" i="13"/>
  <c r="BC35" i="13"/>
  <c r="BC36" i="13"/>
  <c r="BC37" i="13"/>
  <c r="BC38" i="13"/>
  <c r="BC39" i="13"/>
  <c r="BC40" i="13"/>
  <c r="BC41" i="13"/>
  <c r="BC42" i="13"/>
  <c r="BC43" i="13"/>
  <c r="BC44" i="13"/>
  <c r="BC45" i="13"/>
  <c r="BC46" i="13"/>
  <c r="BC47" i="13"/>
  <c r="BC48" i="13"/>
  <c r="BC49" i="13"/>
  <c r="BC50" i="13"/>
  <c r="BC51" i="13"/>
  <c r="BC52" i="13"/>
  <c r="BC53" i="13"/>
  <c r="BC54" i="13"/>
  <c r="BC55" i="13"/>
  <c r="BC56" i="13"/>
  <c r="BC57" i="13"/>
  <c r="BC58" i="13"/>
  <c r="BC59" i="13"/>
  <c r="BC60" i="13"/>
  <c r="BC61" i="13"/>
  <c r="BC62" i="13"/>
  <c r="AZ3" i="13"/>
  <c r="AZ4" i="13"/>
  <c r="AZ5" i="13"/>
  <c r="AZ6" i="13"/>
  <c r="AZ7" i="13"/>
  <c r="AZ8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1" i="13"/>
  <c r="AZ32" i="13"/>
  <c r="AZ33" i="13"/>
  <c r="AZ34" i="13"/>
  <c r="AZ35" i="13"/>
  <c r="AZ36" i="13"/>
  <c r="AZ37" i="13"/>
  <c r="AZ38" i="13"/>
  <c r="AZ39" i="13"/>
  <c r="AZ40" i="13"/>
  <c r="AZ41" i="13"/>
  <c r="AZ42" i="13"/>
  <c r="AZ43" i="13"/>
  <c r="AZ44" i="13"/>
  <c r="AZ45" i="13"/>
  <c r="AZ46" i="13"/>
  <c r="AZ47" i="13"/>
  <c r="AZ48" i="13"/>
  <c r="AZ49" i="13"/>
  <c r="AZ50" i="13"/>
  <c r="AZ51" i="13"/>
  <c r="AZ52" i="13"/>
  <c r="AZ53" i="13"/>
  <c r="AZ54" i="13"/>
  <c r="AZ55" i="13"/>
  <c r="AZ56" i="13"/>
  <c r="AZ57" i="13"/>
  <c r="AZ58" i="13"/>
  <c r="AZ59" i="13"/>
  <c r="AZ60" i="13"/>
  <c r="AZ61" i="13"/>
  <c r="AZ62" i="13"/>
  <c r="AZ63" i="13"/>
  <c r="AZ64" i="13"/>
  <c r="AZ65" i="13"/>
  <c r="AZ66" i="13"/>
  <c r="AZ67" i="13"/>
  <c r="AZ68" i="13"/>
  <c r="AZ69" i="13"/>
  <c r="AZ70" i="13"/>
  <c r="AZ71" i="13"/>
  <c r="AZ72" i="13"/>
  <c r="AZ73" i="13"/>
  <c r="AZ74" i="13"/>
  <c r="AZ75" i="13"/>
  <c r="AZ76" i="13"/>
  <c r="AZ77" i="13"/>
  <c r="AZ78" i="13"/>
  <c r="AZ79" i="13"/>
  <c r="AZ80" i="13"/>
  <c r="AZ81" i="13"/>
  <c r="AZ82" i="13"/>
  <c r="AZ83" i="13"/>
  <c r="AZ84" i="13"/>
  <c r="AZ85" i="13"/>
  <c r="AZ86" i="13"/>
  <c r="AZ87" i="13"/>
  <c r="AZ88" i="13"/>
  <c r="AZ89" i="13"/>
  <c r="AZ90" i="13"/>
  <c r="AZ91" i="13"/>
  <c r="AZ92" i="13"/>
  <c r="AZ93" i="13"/>
  <c r="AZ94" i="13"/>
  <c r="AZ95" i="13"/>
  <c r="AZ96" i="13"/>
  <c r="AZ97" i="13"/>
  <c r="AZ98" i="13"/>
  <c r="AZ99" i="13"/>
  <c r="AZ100" i="13"/>
  <c r="AZ101" i="13"/>
  <c r="AZ102" i="13"/>
  <c r="AZ103" i="13"/>
  <c r="AZ104" i="13"/>
  <c r="AZ105" i="13"/>
  <c r="AZ106" i="13"/>
  <c r="AZ107" i="13"/>
  <c r="AZ108" i="13"/>
  <c r="AZ109" i="13"/>
  <c r="AZ110" i="13"/>
  <c r="AZ111" i="13"/>
  <c r="AZ112" i="13"/>
  <c r="AZ113" i="13"/>
  <c r="AZ114" i="13"/>
  <c r="AZ115" i="13"/>
  <c r="AZ116" i="13"/>
  <c r="AZ117" i="13"/>
  <c r="AZ118" i="13"/>
  <c r="AZ119" i="13"/>
  <c r="AZ120" i="13"/>
  <c r="AZ121" i="13"/>
  <c r="AZ122" i="13"/>
  <c r="AZ123" i="13"/>
  <c r="AZ124" i="13"/>
  <c r="AZ125" i="13"/>
  <c r="AZ126" i="13"/>
  <c r="AZ127" i="13"/>
  <c r="AZ128" i="13"/>
  <c r="AZ129" i="13"/>
  <c r="AZ130" i="13"/>
  <c r="AZ131" i="13"/>
  <c r="AZ132" i="13"/>
  <c r="AZ133" i="13"/>
  <c r="AZ134" i="13"/>
  <c r="AZ135" i="13"/>
  <c r="AZ136" i="13"/>
  <c r="AZ137" i="13"/>
  <c r="AZ138" i="13"/>
  <c r="AZ139" i="13"/>
  <c r="AZ140" i="13"/>
  <c r="AZ141" i="13"/>
  <c r="AZ142" i="13"/>
  <c r="AZ143" i="13"/>
  <c r="AZ144" i="13"/>
  <c r="AZ145" i="13"/>
  <c r="AZ146" i="13"/>
  <c r="AZ147" i="13"/>
  <c r="AZ148" i="13"/>
  <c r="AZ149" i="13"/>
  <c r="AZ150" i="13"/>
  <c r="AZ151" i="13"/>
  <c r="AZ152" i="13"/>
  <c r="AZ153" i="13"/>
  <c r="AZ154" i="13"/>
  <c r="AZ155" i="13"/>
  <c r="AZ156" i="13"/>
  <c r="AZ157" i="13"/>
  <c r="AZ158" i="13"/>
  <c r="AZ159" i="13"/>
  <c r="AZ160" i="13"/>
  <c r="AZ161" i="13"/>
  <c r="AZ162" i="13"/>
  <c r="AZ163" i="13"/>
  <c r="AZ164" i="13"/>
  <c r="AZ165" i="13"/>
  <c r="AZ166" i="13"/>
  <c r="AZ167" i="13"/>
  <c r="AZ168" i="13"/>
  <c r="AZ169" i="13"/>
  <c r="AZ170" i="13"/>
  <c r="AZ171" i="13"/>
  <c r="AZ172" i="13"/>
  <c r="AZ173" i="13"/>
  <c r="AZ174" i="13"/>
  <c r="AZ175" i="13"/>
  <c r="AZ176" i="13"/>
  <c r="AW3" i="13"/>
  <c r="AW4" i="13"/>
  <c r="AW5" i="13"/>
  <c r="AW6" i="13"/>
  <c r="G24" i="13" s="1"/>
  <c r="E70" i="15" s="1"/>
  <c r="AW7" i="13"/>
  <c r="AW8" i="13"/>
  <c r="AW9" i="13"/>
  <c r="G45" i="13" s="1"/>
  <c r="E17" i="15" s="1"/>
  <c r="AT3" i="13"/>
  <c r="AT4" i="13"/>
  <c r="F49" i="13" s="1"/>
  <c r="F25" i="15" s="1"/>
  <c r="AT5" i="13"/>
  <c r="AT6" i="13"/>
  <c r="F41" i="13" s="1"/>
  <c r="F86" i="15" s="1"/>
  <c r="AT7" i="13"/>
  <c r="AQ3" i="13"/>
  <c r="AQ4" i="13"/>
  <c r="BG1" i="15" s="1"/>
  <c r="AQ5" i="13"/>
  <c r="I1" i="5" s="1"/>
  <c r="AQ6" i="13"/>
  <c r="AQ7" i="13"/>
  <c r="AQ8" i="13"/>
  <c r="AQ9" i="13"/>
  <c r="AQ10" i="13"/>
  <c r="AI3" i="13"/>
  <c r="T5" i="12" s="1"/>
  <c r="AI4" i="13"/>
  <c r="AI5" i="13"/>
  <c r="M40" i="13" s="1"/>
  <c r="AI6" i="13"/>
  <c r="M23" i="13" s="1"/>
  <c r="AI7" i="13"/>
  <c r="AI8" i="13"/>
  <c r="AI9" i="13"/>
  <c r="AI10" i="13"/>
  <c r="AI11" i="13"/>
  <c r="AI12" i="13"/>
  <c r="AI13" i="13"/>
  <c r="M79" i="13" s="1"/>
  <c r="AI14" i="13"/>
  <c r="T16" i="12" s="1"/>
  <c r="AI15" i="13"/>
  <c r="AI16" i="13"/>
  <c r="M51" i="13" s="1"/>
  <c r="AE30" i="15" s="1"/>
  <c r="AI17" i="13"/>
  <c r="AI18" i="13"/>
  <c r="M14" i="13" s="1"/>
  <c r="AI19" i="13"/>
  <c r="AI20" i="13"/>
  <c r="M43" i="13" s="1"/>
  <c r="AI21" i="13"/>
  <c r="M13" i="13" s="1"/>
  <c r="AE37" i="15" s="1"/>
  <c r="AI22" i="13"/>
  <c r="T24" i="12" s="1"/>
  <c r="AI23" i="13"/>
  <c r="AI24" i="13"/>
  <c r="AI25" i="13"/>
  <c r="M74" i="13" s="1"/>
  <c r="AI26" i="13"/>
  <c r="M68" i="13" s="1"/>
  <c r="AI27" i="13"/>
  <c r="AI28" i="13"/>
  <c r="T30" i="12" s="1"/>
  <c r="AI29" i="13"/>
  <c r="M29" i="13" s="1"/>
  <c r="AI30" i="13"/>
  <c r="M19" i="13" s="1"/>
  <c r="AI31" i="13"/>
  <c r="T33" i="12" s="1"/>
  <c r="AI32" i="13"/>
  <c r="T34" i="12" s="1"/>
  <c r="AI33" i="13"/>
  <c r="M76" i="13" s="1"/>
  <c r="AI34" i="13"/>
  <c r="M4" i="13" s="1"/>
  <c r="AI35" i="13"/>
  <c r="AI36" i="13"/>
  <c r="B41" i="7" s="1"/>
  <c r="AI37" i="13"/>
  <c r="M78" i="13" s="1"/>
  <c r="AE20" i="15" s="1"/>
  <c r="AI38" i="13"/>
  <c r="AI39" i="13"/>
  <c r="B29" i="7" s="1"/>
  <c r="AI40" i="13"/>
  <c r="B18" i="7" s="1"/>
  <c r="AI41" i="13"/>
  <c r="T43" i="12" s="1"/>
  <c r="AI42" i="13"/>
  <c r="T44" i="12" s="1"/>
  <c r="AI43" i="13"/>
  <c r="B17" i="7" s="1"/>
  <c r="AI44" i="13"/>
  <c r="T46" i="12" s="1"/>
  <c r="AI45" i="13"/>
  <c r="B38" i="7" s="1"/>
  <c r="T12" i="12"/>
  <c r="B4" i="7"/>
  <c r="T6" i="12"/>
  <c r="M28" i="13"/>
  <c r="T11" i="12"/>
  <c r="M59" i="13"/>
  <c r="B20" i="7"/>
  <c r="T14" i="12"/>
  <c r="AF47" i="13"/>
  <c r="AF46" i="13"/>
  <c r="S18" i="4" s="1"/>
  <c r="AF45" i="13"/>
  <c r="K72" i="13" s="1"/>
  <c r="W77" i="15" s="1"/>
  <c r="AF44" i="13"/>
  <c r="Q46" i="12" s="1"/>
  <c r="AF43" i="13"/>
  <c r="AF42" i="13"/>
  <c r="K50" i="13" s="1"/>
  <c r="W28" i="15" s="1"/>
  <c r="AF41" i="13"/>
  <c r="O16" i="4" s="1"/>
  <c r="AF40" i="13"/>
  <c r="Q42" i="12" s="1"/>
  <c r="AF39" i="13"/>
  <c r="AF38" i="13"/>
  <c r="O15" i="4" s="1"/>
  <c r="AF37" i="13"/>
  <c r="AF36" i="13"/>
  <c r="K15" i="4" s="1"/>
  <c r="AF35" i="13"/>
  <c r="AF34" i="13"/>
  <c r="S14" i="4" s="1"/>
  <c r="AF33" i="13"/>
  <c r="K14" i="4" s="1"/>
  <c r="AF32" i="13"/>
  <c r="U13" i="4" s="1"/>
  <c r="AF31" i="13"/>
  <c r="AF30" i="13"/>
  <c r="AF29" i="13"/>
  <c r="O12" i="4" s="1"/>
  <c r="AF28" i="13"/>
  <c r="S12" i="4" s="1"/>
  <c r="AF27" i="13"/>
  <c r="AF26" i="13"/>
  <c r="I11" i="4" s="1"/>
  <c r="AF25" i="13"/>
  <c r="S11" i="4" s="1"/>
  <c r="AF24" i="13"/>
  <c r="K11" i="4" s="1"/>
  <c r="AF23" i="13"/>
  <c r="AF22" i="13"/>
  <c r="M10" i="4" s="1"/>
  <c r="AF21" i="13"/>
  <c r="K84" i="13" s="1"/>
  <c r="W70" i="15" s="1"/>
  <c r="AF20" i="13"/>
  <c r="Q22" i="12" s="1"/>
  <c r="AF19" i="13"/>
  <c r="S9" i="4" s="1"/>
  <c r="AF18" i="13"/>
  <c r="K59" i="13" s="1"/>
  <c r="W9" i="15" s="1"/>
  <c r="AF17" i="13"/>
  <c r="I8" i="4" s="1"/>
  <c r="AF16" i="13"/>
  <c r="M8" i="4" s="1"/>
  <c r="AF15" i="13"/>
  <c r="AF14" i="13"/>
  <c r="AF13" i="13"/>
  <c r="Q15" i="12" s="1"/>
  <c r="AF12" i="13"/>
  <c r="K7" i="4" s="1"/>
  <c r="AF11" i="13"/>
  <c r="AF10" i="13"/>
  <c r="Q12" i="12" s="1"/>
  <c r="AF9" i="13"/>
  <c r="K6" i="4" s="1"/>
  <c r="AF8" i="13"/>
  <c r="U5" i="4" s="1"/>
  <c r="AF7" i="13"/>
  <c r="AF6" i="13"/>
  <c r="K49" i="13" s="1"/>
  <c r="AF5" i="13"/>
  <c r="U4" i="4" s="1"/>
  <c r="AF4" i="13"/>
  <c r="Q6" i="12" s="1"/>
  <c r="AF3" i="13"/>
  <c r="K28" i="13" s="1"/>
  <c r="M15" i="4"/>
  <c r="K36" i="13"/>
  <c r="Q45" i="12"/>
  <c r="O18" i="4"/>
  <c r="O7" i="4"/>
  <c r="K13" i="4"/>
  <c r="AD3" i="13"/>
  <c r="K7" i="17" s="1"/>
  <c r="AD4" i="13"/>
  <c r="AD5" i="13"/>
  <c r="W6" i="17" s="1"/>
  <c r="AD6" i="13"/>
  <c r="W5" i="17" s="1"/>
  <c r="AD7" i="13"/>
  <c r="W9" i="17" s="1"/>
  <c r="AD8" i="13"/>
  <c r="AD9" i="13"/>
  <c r="AD10" i="13"/>
  <c r="K11" i="17" s="1"/>
  <c r="AD11" i="13"/>
  <c r="W12" i="17" s="1"/>
  <c r="AD12" i="13"/>
  <c r="AD13" i="13"/>
  <c r="K14" i="17" s="1"/>
  <c r="AD14" i="13"/>
  <c r="Q15" i="17" s="1"/>
  <c r="AD15" i="13"/>
  <c r="K16" i="17" s="1"/>
  <c r="AB3" i="13"/>
  <c r="I7" i="17" s="1"/>
  <c r="AB4" i="13"/>
  <c r="AB5" i="13"/>
  <c r="O6" i="17" s="1"/>
  <c r="AB6" i="13"/>
  <c r="O5" i="17" s="1"/>
  <c r="AB7" i="13"/>
  <c r="O9" i="17" s="1"/>
  <c r="AB8" i="13"/>
  <c r="AB9" i="13"/>
  <c r="U10" i="17" s="1"/>
  <c r="AB10" i="13"/>
  <c r="U11" i="17" s="1"/>
  <c r="AB11" i="13"/>
  <c r="U12" i="17" s="1"/>
  <c r="AB12" i="13"/>
  <c r="AB13" i="13"/>
  <c r="I14" i="17" s="1"/>
  <c r="AB14" i="13"/>
  <c r="U15" i="17" s="1"/>
  <c r="AB15" i="13"/>
  <c r="O16" i="17" s="1"/>
  <c r="O13" i="17"/>
  <c r="Z3" i="13"/>
  <c r="Z4" i="13"/>
  <c r="Z5" i="13"/>
  <c r="Z6" i="13"/>
  <c r="Z7" i="13"/>
  <c r="Z8" i="13"/>
  <c r="Z9" i="13"/>
  <c r="Z10" i="13"/>
  <c r="Z11" i="13"/>
  <c r="J13" i="12" s="1"/>
  <c r="Z12" i="13"/>
  <c r="Z13" i="13"/>
  <c r="L4" i="13" s="1"/>
  <c r="Z14" i="13"/>
  <c r="Z15" i="13"/>
  <c r="G16" i="17" s="1"/>
  <c r="T3" i="13"/>
  <c r="T4" i="13"/>
  <c r="T5" i="13"/>
  <c r="T6" i="13"/>
  <c r="D6" i="5" s="1"/>
  <c r="T7" i="13"/>
  <c r="T8" i="13"/>
  <c r="T9" i="13"/>
  <c r="D11" i="5" s="1"/>
  <c r="T10" i="13"/>
  <c r="G12" i="12" s="1"/>
  <c r="T11" i="13"/>
  <c r="J82" i="13" s="1"/>
  <c r="T12" i="13"/>
  <c r="D12" i="5" s="1"/>
  <c r="T13" i="13"/>
  <c r="T14" i="13"/>
  <c r="J10" i="13" s="1"/>
  <c r="AB39" i="15" s="1"/>
  <c r="T15" i="13"/>
  <c r="J27" i="13" s="1"/>
  <c r="T16" i="13"/>
  <c r="J84" i="13" s="1"/>
  <c r="T17" i="13"/>
  <c r="T18" i="13"/>
  <c r="J24" i="13" s="1"/>
  <c r="T19" i="13"/>
  <c r="J76" i="13" s="1"/>
  <c r="T20" i="13"/>
  <c r="J74" i="13" s="1"/>
  <c r="T21" i="13"/>
  <c r="T22" i="13"/>
  <c r="J17" i="13" s="1"/>
  <c r="T23" i="13"/>
  <c r="J37" i="13" s="1"/>
  <c r="T24" i="13"/>
  <c r="D26" i="5" s="1"/>
  <c r="T25" i="13"/>
  <c r="T26" i="13"/>
  <c r="J7" i="13" s="1"/>
  <c r="T27" i="13"/>
  <c r="J61" i="13" s="1"/>
  <c r="AB14" i="15" s="1"/>
  <c r="T28" i="13"/>
  <c r="D28" i="5" s="1"/>
  <c r="T29" i="13"/>
  <c r="J51" i="13" s="1"/>
  <c r="AB30" i="15" s="1"/>
  <c r="T30" i="13"/>
  <c r="J58" i="13" s="1"/>
  <c r="T31" i="13"/>
  <c r="D30" i="5" s="1"/>
  <c r="T32" i="13"/>
  <c r="G34" i="12" s="1"/>
  <c r="P3" i="13"/>
  <c r="P4" i="13"/>
  <c r="P5" i="13"/>
  <c r="P6" i="13"/>
  <c r="P7" i="13"/>
  <c r="P8" i="13"/>
  <c r="P9" i="13"/>
  <c r="B9" i="3" s="1"/>
  <c r="P10" i="13"/>
  <c r="P11" i="13"/>
  <c r="P12" i="13"/>
  <c r="P13" i="13"/>
  <c r="B13" i="3" s="1"/>
  <c r="P14" i="13"/>
  <c r="P15" i="13"/>
  <c r="P16" i="13"/>
  <c r="B16" i="3" s="1"/>
  <c r="P17" i="13"/>
  <c r="I83" i="13" s="1"/>
  <c r="P18" i="13"/>
  <c r="P19" i="13"/>
  <c r="P20" i="13"/>
  <c r="I48" i="13" s="1"/>
  <c r="P21" i="13"/>
  <c r="I71" i="13" s="1"/>
  <c r="P22" i="13"/>
  <c r="P23" i="13"/>
  <c r="P24" i="13"/>
  <c r="B24" i="3" s="1"/>
  <c r="P25" i="13"/>
  <c r="B25" i="3" s="1"/>
  <c r="P26" i="13"/>
  <c r="P27" i="13"/>
  <c r="P28" i="13"/>
  <c r="B28" i="3" s="1"/>
  <c r="P29" i="13"/>
  <c r="I61" i="13" s="1"/>
  <c r="P30" i="13"/>
  <c r="P31" i="13"/>
  <c r="P32" i="13"/>
  <c r="B32" i="3" s="1"/>
  <c r="P33" i="13"/>
  <c r="D35" i="12" s="1"/>
  <c r="D3" i="13"/>
  <c r="D4" i="13"/>
  <c r="D5" i="13"/>
  <c r="B12" i="15" s="1"/>
  <c r="D6" i="13"/>
  <c r="B16" i="15" s="1"/>
  <c r="D7" i="13"/>
  <c r="D8" i="13"/>
  <c r="D9" i="13"/>
  <c r="D10" i="13"/>
  <c r="B39" i="15" s="1"/>
  <c r="D11" i="13"/>
  <c r="D12" i="13"/>
  <c r="D13" i="13"/>
  <c r="D14" i="13"/>
  <c r="B40" i="15" s="1"/>
  <c r="D15" i="13"/>
  <c r="D16" i="13"/>
  <c r="D17" i="13"/>
  <c r="D18" i="13"/>
  <c r="D19" i="13"/>
  <c r="D20" i="13"/>
  <c r="D21" i="13"/>
  <c r="D22" i="13"/>
  <c r="B72" i="15" s="1"/>
  <c r="D23" i="13"/>
  <c r="D24" i="13"/>
  <c r="D25" i="13"/>
  <c r="D26" i="13"/>
  <c r="D27" i="13"/>
  <c r="D28" i="13"/>
  <c r="D29" i="13"/>
  <c r="B19" i="15" s="1"/>
  <c r="D30" i="13"/>
  <c r="B23" i="15" s="1"/>
  <c r="D31" i="13"/>
  <c r="D32" i="13"/>
  <c r="D33" i="13"/>
  <c r="D34" i="13"/>
  <c r="B32" i="15" s="1"/>
  <c r="D35" i="13"/>
  <c r="D36" i="13"/>
  <c r="D37" i="13"/>
  <c r="D38" i="13"/>
  <c r="D39" i="13"/>
  <c r="D40" i="13"/>
  <c r="D41" i="13"/>
  <c r="D42" i="13"/>
  <c r="B87" i="15" s="1"/>
  <c r="D43" i="13"/>
  <c r="D44" i="13"/>
  <c r="B11" i="15" s="1"/>
  <c r="D45" i="13"/>
  <c r="D46" i="13"/>
  <c r="B21" i="15" s="1"/>
  <c r="D47" i="13"/>
  <c r="D48" i="13"/>
  <c r="D49" i="13"/>
  <c r="D50" i="13"/>
  <c r="B28" i="15" s="1"/>
  <c r="D51" i="13"/>
  <c r="D52" i="13"/>
  <c r="B38" i="15" s="1"/>
  <c r="D53" i="13"/>
  <c r="D54" i="13"/>
  <c r="D55" i="13"/>
  <c r="D56" i="13"/>
  <c r="D57" i="13"/>
  <c r="D58" i="13"/>
  <c r="B8" i="15" s="1"/>
  <c r="D59" i="13"/>
  <c r="D60" i="13"/>
  <c r="D61" i="13"/>
  <c r="D62" i="13"/>
  <c r="B42" i="15" s="1"/>
  <c r="D63" i="13"/>
  <c r="D64" i="13"/>
  <c r="B50" i="15" s="1"/>
  <c r="D65" i="13"/>
  <c r="D66" i="13"/>
  <c r="B53" i="15" s="1"/>
  <c r="D67" i="13"/>
  <c r="D68" i="13"/>
  <c r="B61" i="15" s="1"/>
  <c r="D69" i="13"/>
  <c r="D70" i="13"/>
  <c r="B66" i="15" s="1"/>
  <c r="D71" i="13"/>
  <c r="D72" i="13"/>
  <c r="B77" i="15" s="1"/>
  <c r="D73" i="13"/>
  <c r="D74" i="13"/>
  <c r="B83" i="15" s="1"/>
  <c r="D75" i="13"/>
  <c r="D76" i="13"/>
  <c r="D77" i="13"/>
  <c r="B15" i="15" s="1"/>
  <c r="D78" i="13"/>
  <c r="B20" i="15" s="1"/>
  <c r="D79" i="13"/>
  <c r="B33" i="15" s="1"/>
  <c r="D80" i="13"/>
  <c r="B49" i="15" s="1"/>
  <c r="D81" i="13"/>
  <c r="B58" i="15" s="1"/>
  <c r="D82" i="13"/>
  <c r="B60" i="15" s="1"/>
  <c r="D83" i="13"/>
  <c r="D84" i="13"/>
  <c r="B68" i="15" s="1"/>
  <c r="D85" i="13"/>
  <c r="D86" i="13"/>
  <c r="B80" i="15" s="1"/>
  <c r="D87" i="13"/>
  <c r="D88" i="13"/>
  <c r="B88" i="15" s="1"/>
  <c r="D89" i="13"/>
  <c r="B89" i="15" s="1"/>
  <c r="A3" i="13"/>
  <c r="R1" i="15" s="1"/>
  <c r="A4" i="13"/>
  <c r="A5" i="13"/>
  <c r="A6" i="13"/>
  <c r="A8" i="12" s="1"/>
  <c r="AT3" i="15"/>
  <c r="AT4" i="15"/>
  <c r="AT5" i="15"/>
  <c r="AT6" i="15"/>
  <c r="AT7" i="15"/>
  <c r="AT8" i="15"/>
  <c r="AT9" i="15"/>
  <c r="AT10" i="15"/>
  <c r="AT11" i="15"/>
  <c r="AT12" i="15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5" i="15"/>
  <c r="AT26" i="15"/>
  <c r="AT27" i="15"/>
  <c r="AT28" i="15"/>
  <c r="AT29" i="15"/>
  <c r="AT30" i="15"/>
  <c r="AT31" i="15"/>
  <c r="AT32" i="15"/>
  <c r="AT33" i="15"/>
  <c r="AT34" i="15"/>
  <c r="AT35" i="15"/>
  <c r="AT36" i="15"/>
  <c r="AT37" i="15"/>
  <c r="AT38" i="15"/>
  <c r="AT39" i="15"/>
  <c r="AT40" i="15"/>
  <c r="AT41" i="15"/>
  <c r="AT42" i="15"/>
  <c r="AT43" i="15"/>
  <c r="AT44" i="15"/>
  <c r="AT45" i="15"/>
  <c r="AT46" i="15"/>
  <c r="AT47" i="15"/>
  <c r="AT48" i="15"/>
  <c r="AT49" i="15"/>
  <c r="AT50" i="15"/>
  <c r="AT51" i="15"/>
  <c r="AT52" i="15"/>
  <c r="AT53" i="15"/>
  <c r="AT54" i="15"/>
  <c r="AT55" i="15"/>
  <c r="AT56" i="15"/>
  <c r="AT57" i="15"/>
  <c r="AT58" i="15"/>
  <c r="AT59" i="15"/>
  <c r="AT60" i="15"/>
  <c r="AT61" i="15"/>
  <c r="AT62" i="15"/>
  <c r="AT63" i="15"/>
  <c r="AT64" i="15"/>
  <c r="AT65" i="15"/>
  <c r="AT66" i="15"/>
  <c r="AT67" i="15"/>
  <c r="AT68" i="15"/>
  <c r="AT69" i="15"/>
  <c r="AT70" i="15"/>
  <c r="AT71" i="15"/>
  <c r="AT72" i="15"/>
  <c r="AT73" i="15"/>
  <c r="AT74" i="15"/>
  <c r="AT75" i="15"/>
  <c r="AT76" i="15"/>
  <c r="AT77" i="15"/>
  <c r="AT78" i="15"/>
  <c r="AT79" i="15"/>
  <c r="AT80" i="15"/>
  <c r="AT81" i="15"/>
  <c r="AT82" i="15"/>
  <c r="AT83" i="15"/>
  <c r="AT84" i="15"/>
  <c r="AT85" i="15"/>
  <c r="AT86" i="15"/>
  <c r="AT87" i="15"/>
  <c r="AT88" i="15"/>
  <c r="AT89" i="15"/>
  <c r="AS3" i="15"/>
  <c r="AS4" i="15"/>
  <c r="AS5" i="15"/>
  <c r="AS6" i="15"/>
  <c r="AS7" i="15"/>
  <c r="AS8" i="15"/>
  <c r="AS9" i="15"/>
  <c r="AS10" i="15"/>
  <c r="AS11" i="15"/>
  <c r="AS12" i="15"/>
  <c r="AS13" i="15"/>
  <c r="AS14" i="15"/>
  <c r="AS15" i="15"/>
  <c r="AS16" i="15"/>
  <c r="AS17" i="15"/>
  <c r="AS18" i="15"/>
  <c r="AS19" i="15"/>
  <c r="AS20" i="15"/>
  <c r="AS21" i="15"/>
  <c r="AS22" i="15"/>
  <c r="AS23" i="15"/>
  <c r="AS24" i="15"/>
  <c r="AS25" i="15"/>
  <c r="AS26" i="15"/>
  <c r="AS27" i="15"/>
  <c r="AS28" i="15"/>
  <c r="AS29" i="15"/>
  <c r="AS30" i="15"/>
  <c r="AS31" i="15"/>
  <c r="AS32" i="15"/>
  <c r="AS33" i="15"/>
  <c r="AS34" i="15"/>
  <c r="AS35" i="15"/>
  <c r="AS36" i="15"/>
  <c r="AS37" i="15"/>
  <c r="AS38" i="15"/>
  <c r="AS39" i="15"/>
  <c r="AS40" i="15"/>
  <c r="AS41" i="15"/>
  <c r="AS42" i="15"/>
  <c r="AS43" i="15"/>
  <c r="AS44" i="15"/>
  <c r="AS45" i="15"/>
  <c r="AS46" i="15"/>
  <c r="AS47" i="15"/>
  <c r="AS48" i="15"/>
  <c r="AS49" i="15"/>
  <c r="AS50" i="15"/>
  <c r="AS51" i="15"/>
  <c r="AS52" i="15"/>
  <c r="AS53" i="15"/>
  <c r="AS54" i="15"/>
  <c r="AS55" i="15"/>
  <c r="AS56" i="15"/>
  <c r="AS57" i="15"/>
  <c r="AS58" i="15"/>
  <c r="AS59" i="15"/>
  <c r="AS60" i="15"/>
  <c r="AS61" i="15"/>
  <c r="AS62" i="15"/>
  <c r="AS63" i="15"/>
  <c r="AS64" i="15"/>
  <c r="AS65" i="15"/>
  <c r="AS66" i="15"/>
  <c r="AS67" i="15"/>
  <c r="AS68" i="15"/>
  <c r="AS69" i="15"/>
  <c r="AS70" i="15"/>
  <c r="AS71" i="15"/>
  <c r="AS72" i="15"/>
  <c r="AS73" i="15"/>
  <c r="AS74" i="15"/>
  <c r="AS75" i="15"/>
  <c r="AS76" i="15"/>
  <c r="AS77" i="15"/>
  <c r="AS78" i="15"/>
  <c r="AS79" i="15"/>
  <c r="AS80" i="15"/>
  <c r="AS81" i="15"/>
  <c r="AS82" i="15"/>
  <c r="AS83" i="15"/>
  <c r="AS84" i="15"/>
  <c r="AS85" i="15"/>
  <c r="AS86" i="15"/>
  <c r="AS87" i="15"/>
  <c r="AS88" i="15"/>
  <c r="AS89" i="15"/>
  <c r="AR3" i="15"/>
  <c r="AR4" i="15"/>
  <c r="AR5" i="15"/>
  <c r="AR6" i="15"/>
  <c r="AR7" i="15"/>
  <c r="AR8" i="15"/>
  <c r="AR9" i="15"/>
  <c r="AR10" i="15"/>
  <c r="AR11" i="15"/>
  <c r="AR12" i="15"/>
  <c r="AR13" i="15"/>
  <c r="AR14" i="15"/>
  <c r="AR15" i="15"/>
  <c r="AR16" i="15"/>
  <c r="AR17" i="15"/>
  <c r="AR18" i="15"/>
  <c r="AR19" i="15"/>
  <c r="AR20" i="15"/>
  <c r="AR21" i="15"/>
  <c r="AR22" i="15"/>
  <c r="AR23" i="15"/>
  <c r="AR24" i="15"/>
  <c r="AR25" i="15"/>
  <c r="AR26" i="15"/>
  <c r="AR27" i="15"/>
  <c r="AR28" i="15"/>
  <c r="AR29" i="15"/>
  <c r="AR30" i="15"/>
  <c r="AR31" i="15"/>
  <c r="AR32" i="15"/>
  <c r="AR33" i="15"/>
  <c r="AR34" i="15"/>
  <c r="AR35" i="15"/>
  <c r="AR36" i="15"/>
  <c r="AR37" i="15"/>
  <c r="AR38" i="15"/>
  <c r="AR39" i="15"/>
  <c r="AR40" i="15"/>
  <c r="AR41" i="15"/>
  <c r="AR42" i="15"/>
  <c r="AR43" i="15"/>
  <c r="AR44" i="15"/>
  <c r="AR45" i="15"/>
  <c r="AR46" i="15"/>
  <c r="AR47" i="15"/>
  <c r="AR48" i="15"/>
  <c r="AR49" i="15"/>
  <c r="AR50" i="15"/>
  <c r="AR51" i="15"/>
  <c r="AR52" i="15"/>
  <c r="AR53" i="15"/>
  <c r="AR54" i="15"/>
  <c r="AR55" i="15"/>
  <c r="AR56" i="15"/>
  <c r="AR57" i="15"/>
  <c r="AR58" i="15"/>
  <c r="AR59" i="15"/>
  <c r="AR60" i="15"/>
  <c r="AR61" i="15"/>
  <c r="AR62" i="15"/>
  <c r="AR63" i="15"/>
  <c r="AR64" i="15"/>
  <c r="AR65" i="15"/>
  <c r="AR66" i="15"/>
  <c r="AR67" i="15"/>
  <c r="AR68" i="15"/>
  <c r="AR69" i="15"/>
  <c r="AR70" i="15"/>
  <c r="AR71" i="15"/>
  <c r="AR72" i="15"/>
  <c r="AR73" i="15"/>
  <c r="AR74" i="15"/>
  <c r="AR75" i="15"/>
  <c r="AR76" i="15"/>
  <c r="AR77" i="15"/>
  <c r="AR78" i="15"/>
  <c r="AR79" i="15"/>
  <c r="AR80" i="15"/>
  <c r="AR81" i="15"/>
  <c r="AR82" i="15"/>
  <c r="AR83" i="15"/>
  <c r="AR84" i="15"/>
  <c r="AR85" i="15"/>
  <c r="AR86" i="15"/>
  <c r="AR87" i="15"/>
  <c r="AR88" i="15"/>
  <c r="AR89" i="15"/>
  <c r="AC3" i="15"/>
  <c r="AC4" i="15"/>
  <c r="AC5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AC29" i="15"/>
  <c r="AC30" i="15"/>
  <c r="AC31" i="15"/>
  <c r="AC32" i="15"/>
  <c r="AC33" i="15"/>
  <c r="AC34" i="15"/>
  <c r="AC35" i="15"/>
  <c r="AC36" i="15"/>
  <c r="AC37" i="15"/>
  <c r="AC38" i="15"/>
  <c r="AC39" i="15"/>
  <c r="AC40" i="15"/>
  <c r="AC41" i="15"/>
  <c r="AC42" i="15"/>
  <c r="AC43" i="15"/>
  <c r="AC44" i="15"/>
  <c r="AC45" i="15"/>
  <c r="AC46" i="15"/>
  <c r="AC47" i="15"/>
  <c r="AC48" i="15"/>
  <c r="AC49" i="15"/>
  <c r="AC50" i="15"/>
  <c r="AC51" i="15"/>
  <c r="AC52" i="15"/>
  <c r="AC53" i="15"/>
  <c r="AC54" i="15"/>
  <c r="AC55" i="15"/>
  <c r="AC56" i="15"/>
  <c r="AC57" i="15"/>
  <c r="AC58" i="15"/>
  <c r="AC59" i="15"/>
  <c r="AC60" i="15"/>
  <c r="AC61" i="15"/>
  <c r="AC62" i="15"/>
  <c r="AC63" i="15"/>
  <c r="AC64" i="15"/>
  <c r="AC65" i="15"/>
  <c r="AC66" i="15"/>
  <c r="AC67" i="15"/>
  <c r="AC68" i="15"/>
  <c r="AC69" i="15"/>
  <c r="AC70" i="15"/>
  <c r="AC71" i="15"/>
  <c r="AC72" i="15"/>
  <c r="AC73" i="15"/>
  <c r="AC74" i="15"/>
  <c r="AC75" i="15"/>
  <c r="AC76" i="15"/>
  <c r="AC77" i="15"/>
  <c r="AC78" i="15"/>
  <c r="AC79" i="15"/>
  <c r="AC80" i="15"/>
  <c r="AC81" i="15"/>
  <c r="AC82" i="15"/>
  <c r="AC83" i="15"/>
  <c r="AC84" i="15"/>
  <c r="AC85" i="15"/>
  <c r="AC86" i="15"/>
  <c r="AC87" i="15"/>
  <c r="AC88" i="15"/>
  <c r="AC89" i="15"/>
  <c r="Z3" i="15"/>
  <c r="Z4" i="15"/>
  <c r="Z5" i="15"/>
  <c r="Z7" i="15"/>
  <c r="Z8" i="15"/>
  <c r="Z9" i="15"/>
  <c r="Z10" i="15"/>
  <c r="Z11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31" i="15"/>
  <c r="Z32" i="15"/>
  <c r="Z33" i="15"/>
  <c r="Z34" i="15"/>
  <c r="Z35" i="15"/>
  <c r="Z36" i="15"/>
  <c r="Z37" i="15"/>
  <c r="Z38" i="15"/>
  <c r="Z39" i="15"/>
  <c r="Z40" i="15"/>
  <c r="Z41" i="15"/>
  <c r="Z42" i="15"/>
  <c r="Z43" i="15"/>
  <c r="Z44" i="15"/>
  <c r="Z45" i="15"/>
  <c r="Z46" i="15"/>
  <c r="Z47" i="15"/>
  <c r="Z48" i="15"/>
  <c r="Z49" i="15"/>
  <c r="Z50" i="15"/>
  <c r="Z51" i="15"/>
  <c r="Z52" i="15"/>
  <c r="Z53" i="15"/>
  <c r="Z54" i="15"/>
  <c r="Z55" i="15"/>
  <c r="Z56" i="15"/>
  <c r="Z57" i="15"/>
  <c r="Z58" i="15"/>
  <c r="Z59" i="15"/>
  <c r="Z60" i="15"/>
  <c r="Z61" i="15"/>
  <c r="Z62" i="15"/>
  <c r="Z63" i="15"/>
  <c r="Z64" i="15"/>
  <c r="Z65" i="15"/>
  <c r="Z66" i="15"/>
  <c r="Z68" i="15"/>
  <c r="Z69" i="15"/>
  <c r="Z70" i="15"/>
  <c r="Z71" i="15"/>
  <c r="Z72" i="15"/>
  <c r="Z73" i="15"/>
  <c r="Z74" i="15"/>
  <c r="Z75" i="15"/>
  <c r="Z76" i="15"/>
  <c r="Z77" i="15"/>
  <c r="Z78" i="15"/>
  <c r="Z79" i="15"/>
  <c r="Z80" i="15"/>
  <c r="Z81" i="15"/>
  <c r="Z82" i="15"/>
  <c r="Z83" i="15"/>
  <c r="Z84" i="15"/>
  <c r="Z85" i="15"/>
  <c r="Z86" i="15"/>
  <c r="Z87" i="15"/>
  <c r="Z88" i="15"/>
  <c r="Z89" i="15"/>
  <c r="Y3" i="15"/>
  <c r="Y4" i="15"/>
  <c r="Y5" i="15"/>
  <c r="Y7" i="15"/>
  <c r="Y8" i="15"/>
  <c r="Y9" i="15"/>
  <c r="Y10" i="15"/>
  <c r="Y11" i="15"/>
  <c r="Y13" i="15"/>
  <c r="Y14" i="15"/>
  <c r="Y15" i="15"/>
  <c r="Y16" i="15"/>
  <c r="Y17" i="15"/>
  <c r="Y18" i="15"/>
  <c r="Y19" i="15"/>
  <c r="Y20" i="15"/>
  <c r="Y21" i="15"/>
  <c r="Y22" i="15"/>
  <c r="Y23" i="15"/>
  <c r="Y24" i="15"/>
  <c r="Y25" i="15"/>
  <c r="Y26" i="15"/>
  <c r="Y27" i="15"/>
  <c r="Y28" i="15"/>
  <c r="Y29" i="15"/>
  <c r="Y30" i="15"/>
  <c r="Y31" i="15"/>
  <c r="Y32" i="15"/>
  <c r="Y33" i="15"/>
  <c r="Y34" i="15"/>
  <c r="Y35" i="15"/>
  <c r="Y36" i="15"/>
  <c r="Y37" i="15"/>
  <c r="Y38" i="15"/>
  <c r="Y39" i="15"/>
  <c r="Y40" i="15"/>
  <c r="Y41" i="15"/>
  <c r="Y42" i="15"/>
  <c r="Y43" i="15"/>
  <c r="Y44" i="15"/>
  <c r="Y45" i="15"/>
  <c r="Y46" i="15"/>
  <c r="Y47" i="15"/>
  <c r="Y48" i="15"/>
  <c r="Y49" i="15"/>
  <c r="Y50" i="15"/>
  <c r="Y51" i="15"/>
  <c r="Y52" i="15"/>
  <c r="Y53" i="15"/>
  <c r="Y54" i="15"/>
  <c r="Y55" i="15"/>
  <c r="Y56" i="15"/>
  <c r="Y57" i="15"/>
  <c r="Y58" i="15"/>
  <c r="Y59" i="15"/>
  <c r="Y60" i="15"/>
  <c r="Y61" i="15"/>
  <c r="Y62" i="15"/>
  <c r="Y63" i="15"/>
  <c r="Y64" i="15"/>
  <c r="Y65" i="15"/>
  <c r="Y66" i="15"/>
  <c r="Y68" i="15"/>
  <c r="Y69" i="15"/>
  <c r="Y70" i="15"/>
  <c r="Y71" i="15"/>
  <c r="Y72" i="15"/>
  <c r="Y73" i="15"/>
  <c r="Y74" i="15"/>
  <c r="Y75" i="15"/>
  <c r="Y76" i="15"/>
  <c r="Y77" i="15"/>
  <c r="Y78" i="15"/>
  <c r="Y79" i="15"/>
  <c r="Y80" i="15"/>
  <c r="Y81" i="15"/>
  <c r="Y82" i="15"/>
  <c r="Y83" i="15"/>
  <c r="Y84" i="15"/>
  <c r="Y85" i="15"/>
  <c r="Y86" i="15"/>
  <c r="Y87" i="15"/>
  <c r="Y88" i="15"/>
  <c r="Y89" i="15"/>
  <c r="X3" i="15"/>
  <c r="X4" i="15"/>
  <c r="X5" i="15"/>
  <c r="X7" i="15"/>
  <c r="X8" i="15"/>
  <c r="X9" i="15"/>
  <c r="X10" i="15"/>
  <c r="X11" i="15"/>
  <c r="X13" i="15"/>
  <c r="X14" i="15"/>
  <c r="X15" i="15"/>
  <c r="X16" i="15"/>
  <c r="X17" i="15"/>
  <c r="X18" i="15"/>
  <c r="X19" i="15"/>
  <c r="X20" i="15"/>
  <c r="X21" i="15"/>
  <c r="X22" i="15"/>
  <c r="X23" i="15"/>
  <c r="X24" i="15"/>
  <c r="X25" i="15"/>
  <c r="X26" i="15"/>
  <c r="X27" i="15"/>
  <c r="X28" i="15"/>
  <c r="X29" i="15"/>
  <c r="X30" i="15"/>
  <c r="X31" i="15"/>
  <c r="X32" i="15"/>
  <c r="X33" i="15"/>
  <c r="X34" i="15"/>
  <c r="X35" i="15"/>
  <c r="X36" i="15"/>
  <c r="X37" i="15"/>
  <c r="X38" i="15"/>
  <c r="X39" i="15"/>
  <c r="X40" i="15"/>
  <c r="X41" i="15"/>
  <c r="X42" i="15"/>
  <c r="X43" i="15"/>
  <c r="X44" i="15"/>
  <c r="X45" i="15"/>
  <c r="X46" i="15"/>
  <c r="X47" i="15"/>
  <c r="X48" i="15"/>
  <c r="X49" i="15"/>
  <c r="X50" i="15"/>
  <c r="X51" i="15"/>
  <c r="X52" i="15"/>
  <c r="X53" i="15"/>
  <c r="X54" i="15"/>
  <c r="X55" i="15"/>
  <c r="X56" i="15"/>
  <c r="X57" i="15"/>
  <c r="X58" i="15"/>
  <c r="X59" i="15"/>
  <c r="X60" i="15"/>
  <c r="X61" i="15"/>
  <c r="X62" i="15"/>
  <c r="X63" i="15"/>
  <c r="X64" i="15"/>
  <c r="X65" i="15"/>
  <c r="X66" i="15"/>
  <c r="X67" i="15"/>
  <c r="X68" i="15"/>
  <c r="X69" i="15"/>
  <c r="X70" i="15"/>
  <c r="X71" i="15"/>
  <c r="X72" i="15"/>
  <c r="X73" i="15"/>
  <c r="X74" i="15"/>
  <c r="X75" i="15"/>
  <c r="X76" i="15"/>
  <c r="X77" i="15"/>
  <c r="X78" i="15"/>
  <c r="X79" i="15"/>
  <c r="X80" i="15"/>
  <c r="X81" i="15"/>
  <c r="X82" i="15"/>
  <c r="X83" i="15"/>
  <c r="X84" i="15"/>
  <c r="X85" i="15"/>
  <c r="X86" i="15"/>
  <c r="X87" i="15"/>
  <c r="X88" i="15"/>
  <c r="X89" i="15"/>
  <c r="C12" i="15"/>
  <c r="Y12" i="15" s="1"/>
  <c r="BG3" i="15"/>
  <c r="BG4" i="15"/>
  <c r="BG5" i="15"/>
  <c r="BG6" i="15"/>
  <c r="BG7" i="15"/>
  <c r="BG8" i="15"/>
  <c r="BG9" i="15"/>
  <c r="BG10" i="15"/>
  <c r="BG11" i="15"/>
  <c r="BG12" i="15"/>
  <c r="BG13" i="15"/>
  <c r="BG14" i="15"/>
  <c r="BG15" i="15"/>
  <c r="BG16" i="15"/>
  <c r="BG17" i="15"/>
  <c r="BG18" i="15"/>
  <c r="BG19" i="15"/>
  <c r="BG20" i="15"/>
  <c r="BG21" i="15"/>
  <c r="BG22" i="15"/>
  <c r="BG23" i="15"/>
  <c r="BG24" i="15"/>
  <c r="BG25" i="15"/>
  <c r="BG26" i="15"/>
  <c r="BG27" i="15"/>
  <c r="BG28" i="15"/>
  <c r="BG29" i="15"/>
  <c r="BG30" i="15"/>
  <c r="BG31" i="15"/>
  <c r="BG32" i="15"/>
  <c r="BG33" i="15"/>
  <c r="BG34" i="15"/>
  <c r="BG35" i="15"/>
  <c r="BG36" i="15"/>
  <c r="BG37" i="15"/>
  <c r="BG38" i="15"/>
  <c r="BG39" i="15"/>
  <c r="BG40" i="15"/>
  <c r="BG41" i="15"/>
  <c r="BG42" i="15"/>
  <c r="BG43" i="15"/>
  <c r="BG44" i="15"/>
  <c r="BG45" i="15"/>
  <c r="BG46" i="15"/>
  <c r="BG47" i="15"/>
  <c r="BG48" i="15"/>
  <c r="BG49" i="15"/>
  <c r="BG50" i="15"/>
  <c r="BG51" i="15"/>
  <c r="BG52" i="15"/>
  <c r="BG53" i="15"/>
  <c r="BG54" i="15"/>
  <c r="BG55" i="15"/>
  <c r="BG56" i="15"/>
  <c r="BG57" i="15"/>
  <c r="BG58" i="15"/>
  <c r="BG59" i="15"/>
  <c r="BG60" i="15"/>
  <c r="BG61" i="15"/>
  <c r="BG62" i="15"/>
  <c r="BG63" i="15"/>
  <c r="BG64" i="15"/>
  <c r="BG65" i="15"/>
  <c r="BG66" i="15"/>
  <c r="BG67" i="15"/>
  <c r="BG68" i="15"/>
  <c r="BG69" i="15"/>
  <c r="BG70" i="15"/>
  <c r="BG71" i="15"/>
  <c r="BG72" i="15"/>
  <c r="BG73" i="15"/>
  <c r="BG74" i="15"/>
  <c r="BG75" i="15"/>
  <c r="BG76" i="15"/>
  <c r="BG77" i="15"/>
  <c r="BG78" i="15"/>
  <c r="BG79" i="15"/>
  <c r="BG80" i="15"/>
  <c r="BG81" i="15"/>
  <c r="BG82" i="15"/>
  <c r="BG83" i="15"/>
  <c r="BG84" i="15"/>
  <c r="BG85" i="15"/>
  <c r="BG86" i="15"/>
  <c r="BG87" i="15"/>
  <c r="BG88" i="15"/>
  <c r="BG89" i="15"/>
  <c r="BF3" i="15"/>
  <c r="BF4" i="15"/>
  <c r="BF5" i="15"/>
  <c r="BF6" i="15"/>
  <c r="BF7" i="15"/>
  <c r="BF8" i="15"/>
  <c r="BF9" i="15"/>
  <c r="BF10" i="15"/>
  <c r="BF11" i="15"/>
  <c r="BF12" i="15"/>
  <c r="BF13" i="15"/>
  <c r="BF14" i="15"/>
  <c r="BF15" i="15"/>
  <c r="BF16" i="15"/>
  <c r="BF17" i="15"/>
  <c r="BF18" i="15"/>
  <c r="BF19" i="15"/>
  <c r="BF20" i="15"/>
  <c r="BF21" i="15"/>
  <c r="BF22" i="15"/>
  <c r="BF23" i="15"/>
  <c r="BF24" i="15"/>
  <c r="BF25" i="15"/>
  <c r="BF26" i="15"/>
  <c r="BF27" i="15"/>
  <c r="BF28" i="15"/>
  <c r="BF29" i="15"/>
  <c r="BF30" i="15"/>
  <c r="BF31" i="15"/>
  <c r="BF32" i="15"/>
  <c r="BF33" i="15"/>
  <c r="BF34" i="15"/>
  <c r="BF35" i="15"/>
  <c r="BF36" i="15"/>
  <c r="BF37" i="15"/>
  <c r="BF38" i="15"/>
  <c r="BF39" i="15"/>
  <c r="BF40" i="15"/>
  <c r="BF41" i="15"/>
  <c r="BF42" i="15"/>
  <c r="BF43" i="15"/>
  <c r="BF44" i="15"/>
  <c r="BF45" i="15"/>
  <c r="BF46" i="15"/>
  <c r="BF47" i="15"/>
  <c r="BF48" i="15"/>
  <c r="BF49" i="15"/>
  <c r="BF50" i="15"/>
  <c r="BF51" i="15"/>
  <c r="BF52" i="15"/>
  <c r="BF53" i="15"/>
  <c r="BF54" i="15"/>
  <c r="BF55" i="15"/>
  <c r="BF56" i="15"/>
  <c r="BF57" i="15"/>
  <c r="BF58" i="15"/>
  <c r="BF59" i="15"/>
  <c r="BF60" i="15"/>
  <c r="BF61" i="15"/>
  <c r="BF62" i="15"/>
  <c r="BF63" i="15"/>
  <c r="BF64" i="15"/>
  <c r="BF65" i="15"/>
  <c r="BF66" i="15"/>
  <c r="BF67" i="15"/>
  <c r="BF68" i="15"/>
  <c r="BF69" i="15"/>
  <c r="BF70" i="15"/>
  <c r="BF71" i="15"/>
  <c r="BF72" i="15"/>
  <c r="BF73" i="15"/>
  <c r="BF74" i="15"/>
  <c r="BF75" i="15"/>
  <c r="BF76" i="15"/>
  <c r="BF77" i="15"/>
  <c r="BF78" i="15"/>
  <c r="BF79" i="15"/>
  <c r="BF80" i="15"/>
  <c r="BF81" i="15"/>
  <c r="BF82" i="15"/>
  <c r="BF83" i="15"/>
  <c r="BF84" i="15"/>
  <c r="BF85" i="15"/>
  <c r="BF86" i="15"/>
  <c r="BF87" i="15"/>
  <c r="BF88" i="15"/>
  <c r="BF89" i="15"/>
  <c r="BE3" i="15"/>
  <c r="BE4" i="15"/>
  <c r="BE5" i="15"/>
  <c r="BE6" i="15"/>
  <c r="BE7" i="15"/>
  <c r="BE8" i="15"/>
  <c r="BE9" i="15"/>
  <c r="BE10" i="15"/>
  <c r="BE11" i="15"/>
  <c r="BE12" i="15"/>
  <c r="BE13" i="15"/>
  <c r="BE14" i="15"/>
  <c r="BE15" i="15"/>
  <c r="BE16" i="15"/>
  <c r="BE17" i="15"/>
  <c r="BE18" i="15"/>
  <c r="BE19" i="15"/>
  <c r="BE20" i="15"/>
  <c r="BE21" i="15"/>
  <c r="BE22" i="15"/>
  <c r="BE23" i="15"/>
  <c r="BE24" i="15"/>
  <c r="BE25" i="15"/>
  <c r="BE26" i="15"/>
  <c r="BE27" i="15"/>
  <c r="BE28" i="15"/>
  <c r="BE29" i="15"/>
  <c r="BE30" i="15"/>
  <c r="BE31" i="15"/>
  <c r="BE32" i="15"/>
  <c r="BE33" i="15"/>
  <c r="BE34" i="15"/>
  <c r="BE35" i="15"/>
  <c r="BE36" i="15"/>
  <c r="BE37" i="15"/>
  <c r="BE38" i="15"/>
  <c r="BE39" i="15"/>
  <c r="BE40" i="15"/>
  <c r="BE41" i="15"/>
  <c r="BE42" i="15"/>
  <c r="BE43" i="15"/>
  <c r="BE44" i="15"/>
  <c r="BE45" i="15"/>
  <c r="BE46" i="15"/>
  <c r="BE47" i="15"/>
  <c r="BE48" i="15"/>
  <c r="BE49" i="15"/>
  <c r="BE50" i="15"/>
  <c r="BE51" i="15"/>
  <c r="BE52" i="15"/>
  <c r="BE53" i="15"/>
  <c r="BE54" i="15"/>
  <c r="BE55" i="15"/>
  <c r="BE56" i="15"/>
  <c r="BE57" i="15"/>
  <c r="BE58" i="15"/>
  <c r="BE59" i="15"/>
  <c r="BE60" i="15"/>
  <c r="BE61" i="15"/>
  <c r="BE62" i="15"/>
  <c r="BE63" i="15"/>
  <c r="BE64" i="15"/>
  <c r="BE65" i="15"/>
  <c r="BE66" i="15"/>
  <c r="BE67" i="15"/>
  <c r="BE68" i="15"/>
  <c r="BE69" i="15"/>
  <c r="BE70" i="15"/>
  <c r="BE71" i="15"/>
  <c r="BE72" i="15"/>
  <c r="BE73" i="15"/>
  <c r="BE74" i="15"/>
  <c r="BE75" i="15"/>
  <c r="BE76" i="15"/>
  <c r="BE77" i="15"/>
  <c r="BE78" i="15"/>
  <c r="BE79" i="15"/>
  <c r="BE80" i="15"/>
  <c r="BE81" i="15"/>
  <c r="BE82" i="15"/>
  <c r="BE83" i="15"/>
  <c r="BE84" i="15"/>
  <c r="BE85" i="15"/>
  <c r="BE86" i="15"/>
  <c r="BE87" i="15"/>
  <c r="BE88" i="15"/>
  <c r="BE89" i="15"/>
  <c r="U3" i="15"/>
  <c r="U4" i="15"/>
  <c r="U5" i="15"/>
  <c r="U7" i="15"/>
  <c r="U9" i="15"/>
  <c r="U10" i="15"/>
  <c r="U11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U70" i="15"/>
  <c r="U71" i="15"/>
  <c r="U72" i="15"/>
  <c r="U73" i="15"/>
  <c r="U74" i="15"/>
  <c r="U75" i="15"/>
  <c r="U76" i="15"/>
  <c r="U77" i="15"/>
  <c r="U78" i="15"/>
  <c r="U79" i="15"/>
  <c r="U80" i="15"/>
  <c r="U81" i="15"/>
  <c r="U82" i="15"/>
  <c r="U83" i="15"/>
  <c r="U84" i="15"/>
  <c r="U85" i="15"/>
  <c r="U86" i="15"/>
  <c r="U87" i="15"/>
  <c r="U88" i="15"/>
  <c r="U89" i="15"/>
  <c r="AM4" i="13"/>
  <c r="AM5" i="13"/>
  <c r="AL5" i="13" s="1"/>
  <c r="AM6" i="13"/>
  <c r="AL6" i="13" s="1"/>
  <c r="AM7" i="13"/>
  <c r="AL7" i="13" s="1"/>
  <c r="AM8" i="13"/>
  <c r="AL8" i="13" s="1"/>
  <c r="AM9" i="13"/>
  <c r="AL9" i="13" s="1"/>
  <c r="AM10" i="13"/>
  <c r="AL10" i="13" s="1"/>
  <c r="AM11" i="13"/>
  <c r="AL11" i="13" s="1"/>
  <c r="AM12" i="13"/>
  <c r="AL12" i="13" s="1"/>
  <c r="AM13" i="13"/>
  <c r="AL13" i="13" s="1"/>
  <c r="AM14" i="13"/>
  <c r="AL14" i="13" s="1"/>
  <c r="AM15" i="13"/>
  <c r="AL15" i="13" s="1"/>
  <c r="AM16" i="13"/>
  <c r="AL16" i="13" s="1"/>
  <c r="AM17" i="13"/>
  <c r="AL17" i="13" s="1"/>
  <c r="AM18" i="13"/>
  <c r="AL18" i="13" s="1"/>
  <c r="AM19" i="13"/>
  <c r="AL19" i="13" s="1"/>
  <c r="AM20" i="13"/>
  <c r="AL20" i="13" s="1"/>
  <c r="AM21" i="13"/>
  <c r="AL21" i="13" s="1"/>
  <c r="AM22" i="13"/>
  <c r="AL22" i="13" s="1"/>
  <c r="AM23" i="13"/>
  <c r="AL23" i="13" s="1"/>
  <c r="AM24" i="13"/>
  <c r="AL24" i="13" s="1"/>
  <c r="AM25" i="13"/>
  <c r="AL25" i="13" s="1"/>
  <c r="AM26" i="13"/>
  <c r="AL26" i="13" s="1"/>
  <c r="AM27" i="13"/>
  <c r="AL27" i="13" s="1"/>
  <c r="AM28" i="13"/>
  <c r="AL28" i="13" s="1"/>
  <c r="AM29" i="13"/>
  <c r="AL29" i="13" s="1"/>
  <c r="AM30" i="13"/>
  <c r="AL30" i="13" s="1"/>
  <c r="AM31" i="13"/>
  <c r="AL31" i="13" s="1"/>
  <c r="AM32" i="13"/>
  <c r="AL32" i="13" s="1"/>
  <c r="AM33" i="13"/>
  <c r="AL33" i="13" s="1"/>
  <c r="AM34" i="13"/>
  <c r="AL34" i="13" s="1"/>
  <c r="AM3" i="13"/>
  <c r="AL3" i="13" s="1"/>
  <c r="K4" i="18" s="1"/>
  <c r="D6" i="12"/>
  <c r="O6" i="4"/>
  <c r="Q9" i="12"/>
  <c r="O5" i="4"/>
  <c r="K9" i="4"/>
  <c r="Q21" i="12"/>
  <c r="K8" i="4"/>
  <c r="Q24" i="12"/>
  <c r="O10" i="4"/>
  <c r="K12" i="4"/>
  <c r="Q30" i="12"/>
  <c r="O14" i="4"/>
  <c r="Q33" i="12"/>
  <c r="O13" i="4"/>
  <c r="Q39" i="12"/>
  <c r="K16" i="4"/>
  <c r="U8" i="17"/>
  <c r="N10" i="12"/>
  <c r="Q10" i="17"/>
  <c r="N13" i="12"/>
  <c r="W13" i="17"/>
  <c r="Q14" i="17"/>
  <c r="L33" i="13"/>
  <c r="L38" i="13"/>
  <c r="M8" i="17"/>
  <c r="J5" i="12"/>
  <c r="AI3" i="15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26" i="3"/>
  <c r="G71" i="13"/>
  <c r="G54" i="13"/>
  <c r="E56" i="15" s="1"/>
  <c r="G37" i="13"/>
  <c r="E63" i="15" s="1"/>
  <c r="G66" i="13"/>
  <c r="E53" i="15" s="1"/>
  <c r="G79" i="13"/>
  <c r="E33" i="15" s="1"/>
  <c r="BB3" i="15"/>
  <c r="BB4" i="15"/>
  <c r="BB5" i="15"/>
  <c r="BB6" i="15"/>
  <c r="BB7" i="15"/>
  <c r="BB8" i="15"/>
  <c r="BB9" i="15"/>
  <c r="BB10" i="15"/>
  <c r="BB11" i="15"/>
  <c r="BB12" i="15"/>
  <c r="BB13" i="15"/>
  <c r="BB14" i="15"/>
  <c r="BB15" i="15"/>
  <c r="BB16" i="15"/>
  <c r="BB17" i="15"/>
  <c r="BB18" i="15"/>
  <c r="BB19" i="15"/>
  <c r="BB20" i="15"/>
  <c r="BB21" i="15"/>
  <c r="BB22" i="15"/>
  <c r="BB23" i="15"/>
  <c r="BB24" i="15"/>
  <c r="BB25" i="15"/>
  <c r="BB26" i="15"/>
  <c r="BB27" i="15"/>
  <c r="BB28" i="15"/>
  <c r="BB29" i="15"/>
  <c r="BB30" i="15"/>
  <c r="BB31" i="15"/>
  <c r="BB32" i="15"/>
  <c r="BB33" i="15"/>
  <c r="BB34" i="15"/>
  <c r="BB35" i="15"/>
  <c r="BB36" i="15"/>
  <c r="BB37" i="15"/>
  <c r="BB38" i="15"/>
  <c r="BB39" i="15"/>
  <c r="BB40" i="15"/>
  <c r="BB41" i="15"/>
  <c r="BB42" i="15"/>
  <c r="BB43" i="15"/>
  <c r="BB44" i="15"/>
  <c r="BB45" i="15"/>
  <c r="BB46" i="15"/>
  <c r="BB47" i="15"/>
  <c r="BB48" i="15"/>
  <c r="BB49" i="15"/>
  <c r="BB50" i="15"/>
  <c r="BB51" i="15"/>
  <c r="BB52" i="15"/>
  <c r="BB53" i="15"/>
  <c r="BB54" i="15"/>
  <c r="BB55" i="15"/>
  <c r="BB56" i="15"/>
  <c r="BB57" i="15"/>
  <c r="BB58" i="15"/>
  <c r="BB59" i="15"/>
  <c r="BB60" i="15"/>
  <c r="BB61" i="15"/>
  <c r="BB62" i="15"/>
  <c r="BB63" i="15"/>
  <c r="BB64" i="15"/>
  <c r="BB65" i="15"/>
  <c r="BB66" i="15"/>
  <c r="BB67" i="15"/>
  <c r="BB68" i="15"/>
  <c r="BB69" i="15"/>
  <c r="BB70" i="15"/>
  <c r="BB71" i="15"/>
  <c r="BB72" i="15"/>
  <c r="BB73" i="15"/>
  <c r="BB74" i="15"/>
  <c r="BB75" i="15"/>
  <c r="BB76" i="15"/>
  <c r="BB77" i="15"/>
  <c r="BB78" i="15"/>
  <c r="BB79" i="15"/>
  <c r="BB80" i="15"/>
  <c r="BB81" i="15"/>
  <c r="BB82" i="15"/>
  <c r="BB83" i="15"/>
  <c r="BB84" i="15"/>
  <c r="BB85" i="15"/>
  <c r="BB86" i="15"/>
  <c r="BB87" i="15"/>
  <c r="BB88" i="15"/>
  <c r="BB89" i="15"/>
  <c r="BA3" i="15"/>
  <c r="BA4" i="15"/>
  <c r="BA5" i="15"/>
  <c r="BA6" i="15"/>
  <c r="BA7" i="15"/>
  <c r="BA8" i="15"/>
  <c r="BA9" i="15"/>
  <c r="BA10" i="15"/>
  <c r="BA11" i="15"/>
  <c r="BA12" i="15"/>
  <c r="BA13" i="15"/>
  <c r="BA14" i="15"/>
  <c r="BA15" i="15"/>
  <c r="BA16" i="15"/>
  <c r="BA17" i="15"/>
  <c r="BA18" i="15"/>
  <c r="BA19" i="15"/>
  <c r="BA20" i="15"/>
  <c r="BA21" i="15"/>
  <c r="BA22" i="15"/>
  <c r="BA23" i="15"/>
  <c r="BA24" i="15"/>
  <c r="BA25" i="15"/>
  <c r="BA26" i="15"/>
  <c r="BA27" i="15"/>
  <c r="BA28" i="15"/>
  <c r="BA29" i="15"/>
  <c r="BA30" i="15"/>
  <c r="BA31" i="15"/>
  <c r="BA32" i="15"/>
  <c r="BA33" i="15"/>
  <c r="BA34" i="15"/>
  <c r="BA35" i="15"/>
  <c r="BA36" i="15"/>
  <c r="BA37" i="15"/>
  <c r="BA38" i="15"/>
  <c r="BA39" i="15"/>
  <c r="BA40" i="15"/>
  <c r="BA41" i="15"/>
  <c r="BA42" i="15"/>
  <c r="BA43" i="15"/>
  <c r="BA44" i="15"/>
  <c r="BA45" i="15"/>
  <c r="BA46" i="15"/>
  <c r="BA47" i="15"/>
  <c r="BA48" i="15"/>
  <c r="BA49" i="15"/>
  <c r="BA50" i="15"/>
  <c r="BA51" i="15"/>
  <c r="BA52" i="15"/>
  <c r="BA53" i="15"/>
  <c r="BA54" i="15"/>
  <c r="BA55" i="15"/>
  <c r="BA56" i="15"/>
  <c r="BA57" i="15"/>
  <c r="BA58" i="15"/>
  <c r="BA59" i="15"/>
  <c r="BA60" i="15"/>
  <c r="BA61" i="15"/>
  <c r="BA62" i="15"/>
  <c r="BA63" i="15"/>
  <c r="BA64" i="15"/>
  <c r="BA65" i="15"/>
  <c r="BA66" i="15"/>
  <c r="BA67" i="15"/>
  <c r="BA68" i="15"/>
  <c r="BA69" i="15"/>
  <c r="BA70" i="15"/>
  <c r="BA71" i="15"/>
  <c r="BA72" i="15"/>
  <c r="BA73" i="15"/>
  <c r="BA74" i="15"/>
  <c r="BA75" i="15"/>
  <c r="BA76" i="15"/>
  <c r="BA77" i="15"/>
  <c r="BA78" i="15"/>
  <c r="BA79" i="15"/>
  <c r="BA80" i="15"/>
  <c r="BA81" i="15"/>
  <c r="BA82" i="15"/>
  <c r="BA83" i="15"/>
  <c r="BA84" i="15"/>
  <c r="BA85" i="15"/>
  <c r="BA86" i="15"/>
  <c r="BA87" i="15"/>
  <c r="BA88" i="15"/>
  <c r="BA89" i="15"/>
  <c r="AZ3" i="15"/>
  <c r="AZ4" i="15"/>
  <c r="AZ5" i="15"/>
  <c r="AZ6" i="15"/>
  <c r="AZ7" i="15"/>
  <c r="AZ8" i="15"/>
  <c r="AZ9" i="15"/>
  <c r="AZ10" i="15"/>
  <c r="AZ11" i="15"/>
  <c r="AZ12" i="15"/>
  <c r="AZ13" i="15"/>
  <c r="AZ14" i="15"/>
  <c r="AZ15" i="15"/>
  <c r="AZ16" i="15"/>
  <c r="AZ17" i="15"/>
  <c r="AZ18" i="15"/>
  <c r="AZ19" i="15"/>
  <c r="AZ20" i="15"/>
  <c r="AZ21" i="15"/>
  <c r="AZ22" i="15"/>
  <c r="AZ23" i="15"/>
  <c r="AZ24" i="15"/>
  <c r="AZ25" i="15"/>
  <c r="AZ26" i="15"/>
  <c r="AZ27" i="15"/>
  <c r="AZ28" i="15"/>
  <c r="AZ29" i="15"/>
  <c r="AZ30" i="15"/>
  <c r="AZ31" i="15"/>
  <c r="AZ32" i="15"/>
  <c r="AZ33" i="15"/>
  <c r="AZ34" i="15"/>
  <c r="AZ35" i="15"/>
  <c r="AZ36" i="15"/>
  <c r="AZ37" i="15"/>
  <c r="AZ38" i="15"/>
  <c r="AZ39" i="15"/>
  <c r="AZ40" i="15"/>
  <c r="AZ41" i="15"/>
  <c r="AZ42" i="15"/>
  <c r="AZ43" i="15"/>
  <c r="AZ44" i="15"/>
  <c r="AZ45" i="15"/>
  <c r="AZ46" i="15"/>
  <c r="AZ47" i="15"/>
  <c r="AZ48" i="15"/>
  <c r="AZ49" i="15"/>
  <c r="AZ50" i="15"/>
  <c r="AZ51" i="15"/>
  <c r="AZ52" i="15"/>
  <c r="AZ53" i="15"/>
  <c r="AZ54" i="15"/>
  <c r="AZ55" i="15"/>
  <c r="AZ56" i="15"/>
  <c r="AZ57" i="15"/>
  <c r="AZ58" i="15"/>
  <c r="AZ59" i="15"/>
  <c r="AZ60" i="15"/>
  <c r="AZ61" i="15"/>
  <c r="AZ62" i="15"/>
  <c r="AZ63" i="15"/>
  <c r="AZ64" i="15"/>
  <c r="AZ65" i="15"/>
  <c r="AZ66" i="15"/>
  <c r="AZ67" i="15"/>
  <c r="AZ68" i="15"/>
  <c r="AZ69" i="15"/>
  <c r="AZ70" i="15"/>
  <c r="AZ71" i="15"/>
  <c r="AZ72" i="15"/>
  <c r="AZ73" i="15"/>
  <c r="AZ74" i="15"/>
  <c r="AZ75" i="15"/>
  <c r="AZ76" i="15"/>
  <c r="AZ77" i="15"/>
  <c r="AZ78" i="15"/>
  <c r="AZ79" i="15"/>
  <c r="AZ80" i="15"/>
  <c r="AZ81" i="15"/>
  <c r="AZ82" i="15"/>
  <c r="AZ83" i="15"/>
  <c r="AZ84" i="15"/>
  <c r="AZ85" i="15"/>
  <c r="AZ86" i="15"/>
  <c r="AZ87" i="15"/>
  <c r="AZ88" i="15"/>
  <c r="AZ89" i="15"/>
  <c r="AY3" i="15"/>
  <c r="AY4" i="15"/>
  <c r="AY5" i="15"/>
  <c r="AY6" i="15"/>
  <c r="AY7" i="15"/>
  <c r="AY8" i="15"/>
  <c r="AY9" i="15"/>
  <c r="AY10" i="15"/>
  <c r="AY11" i="15"/>
  <c r="AY12" i="15"/>
  <c r="AY13" i="15"/>
  <c r="AY14" i="15"/>
  <c r="AY15" i="15"/>
  <c r="AY16" i="15"/>
  <c r="AY17" i="15"/>
  <c r="AY18" i="15"/>
  <c r="AY19" i="15"/>
  <c r="AY20" i="15"/>
  <c r="AY21" i="15"/>
  <c r="AY22" i="15"/>
  <c r="AY23" i="15"/>
  <c r="AY24" i="15"/>
  <c r="AY25" i="15"/>
  <c r="AY26" i="15"/>
  <c r="AY27" i="15"/>
  <c r="AY28" i="15"/>
  <c r="AY29" i="15"/>
  <c r="AY30" i="15"/>
  <c r="AY31" i="15"/>
  <c r="AY32" i="15"/>
  <c r="AY33" i="15"/>
  <c r="AY34" i="15"/>
  <c r="AY35" i="15"/>
  <c r="AY36" i="15"/>
  <c r="AY37" i="15"/>
  <c r="AY38" i="15"/>
  <c r="AY39" i="15"/>
  <c r="AY40" i="15"/>
  <c r="AY41" i="15"/>
  <c r="AY42" i="15"/>
  <c r="AY43" i="15"/>
  <c r="AY44" i="15"/>
  <c r="AY45" i="15"/>
  <c r="AY46" i="15"/>
  <c r="AY47" i="15"/>
  <c r="AY48" i="15"/>
  <c r="AY49" i="15"/>
  <c r="AY50" i="15"/>
  <c r="AY51" i="15"/>
  <c r="AY52" i="15"/>
  <c r="AY53" i="15"/>
  <c r="AY54" i="15"/>
  <c r="AY55" i="15"/>
  <c r="AY56" i="15"/>
  <c r="AY57" i="15"/>
  <c r="AY58" i="15"/>
  <c r="AY59" i="15"/>
  <c r="AY60" i="15"/>
  <c r="AY61" i="15"/>
  <c r="AY62" i="15"/>
  <c r="AY63" i="15"/>
  <c r="AY64" i="15"/>
  <c r="AY65" i="15"/>
  <c r="AY66" i="15"/>
  <c r="AY67" i="15"/>
  <c r="AY68" i="15"/>
  <c r="AY69" i="15"/>
  <c r="AY70" i="15"/>
  <c r="AY71" i="15"/>
  <c r="AY72" i="15"/>
  <c r="AY73" i="15"/>
  <c r="AY74" i="15"/>
  <c r="AY75" i="15"/>
  <c r="AY76" i="15"/>
  <c r="AY77" i="15"/>
  <c r="AY78" i="15"/>
  <c r="AY79" i="15"/>
  <c r="AY80" i="15"/>
  <c r="AY81" i="15"/>
  <c r="AY82" i="15"/>
  <c r="AY83" i="15"/>
  <c r="AY84" i="15"/>
  <c r="AY85" i="15"/>
  <c r="AY86" i="15"/>
  <c r="AY87" i="15"/>
  <c r="AY88" i="15"/>
  <c r="AY89" i="15"/>
  <c r="AQ3" i="15"/>
  <c r="AQ4" i="15"/>
  <c r="AQ5" i="15"/>
  <c r="AQ6" i="15"/>
  <c r="AQ7" i="15"/>
  <c r="AQ8" i="15"/>
  <c r="AQ9" i="15"/>
  <c r="AQ10" i="15"/>
  <c r="AQ11" i="15"/>
  <c r="AQ12" i="15"/>
  <c r="AQ13" i="15"/>
  <c r="AQ14" i="15"/>
  <c r="AQ15" i="15"/>
  <c r="AQ16" i="15"/>
  <c r="AQ17" i="15"/>
  <c r="AQ18" i="15"/>
  <c r="AQ19" i="15"/>
  <c r="AQ20" i="15"/>
  <c r="AQ21" i="15"/>
  <c r="AQ22" i="15"/>
  <c r="AQ23" i="15"/>
  <c r="AQ24" i="15"/>
  <c r="AQ25" i="15"/>
  <c r="AQ26" i="15"/>
  <c r="AQ27" i="15"/>
  <c r="AQ28" i="15"/>
  <c r="AQ29" i="15"/>
  <c r="AQ30" i="15"/>
  <c r="AQ31" i="15"/>
  <c r="AQ32" i="15"/>
  <c r="AQ33" i="15"/>
  <c r="AQ34" i="15"/>
  <c r="AQ35" i="15"/>
  <c r="AQ36" i="15"/>
  <c r="AQ37" i="15"/>
  <c r="AQ38" i="15"/>
  <c r="AQ39" i="15"/>
  <c r="AQ40" i="15"/>
  <c r="AQ41" i="15"/>
  <c r="AQ42" i="15"/>
  <c r="AQ43" i="15"/>
  <c r="AQ44" i="15"/>
  <c r="AQ45" i="15"/>
  <c r="AQ46" i="15"/>
  <c r="AQ47" i="15"/>
  <c r="AQ48" i="15"/>
  <c r="AQ49" i="15"/>
  <c r="AQ50" i="15"/>
  <c r="AQ51" i="15"/>
  <c r="AQ52" i="15"/>
  <c r="AQ53" i="15"/>
  <c r="AQ54" i="15"/>
  <c r="AQ55" i="15"/>
  <c r="AQ56" i="15"/>
  <c r="AQ57" i="15"/>
  <c r="AQ58" i="15"/>
  <c r="AQ59" i="15"/>
  <c r="AQ60" i="15"/>
  <c r="AQ61" i="15"/>
  <c r="AQ62" i="15"/>
  <c r="AQ63" i="15"/>
  <c r="AQ64" i="15"/>
  <c r="AQ65" i="15"/>
  <c r="AQ66" i="15"/>
  <c r="AQ67" i="15"/>
  <c r="AQ68" i="15"/>
  <c r="AQ69" i="15"/>
  <c r="AQ70" i="15"/>
  <c r="AQ71" i="15"/>
  <c r="AQ72" i="15"/>
  <c r="AQ73" i="15"/>
  <c r="AQ74" i="15"/>
  <c r="AQ75" i="15"/>
  <c r="AQ76" i="15"/>
  <c r="AQ77" i="15"/>
  <c r="AQ78" i="15"/>
  <c r="AQ79" i="15"/>
  <c r="AQ80" i="15"/>
  <c r="AQ81" i="15"/>
  <c r="AQ82" i="15"/>
  <c r="AQ83" i="15"/>
  <c r="AQ84" i="15"/>
  <c r="AQ85" i="15"/>
  <c r="AQ86" i="15"/>
  <c r="AQ87" i="15"/>
  <c r="AQ88" i="15"/>
  <c r="AQ89" i="15"/>
  <c r="AP3" i="15"/>
  <c r="AP4" i="15"/>
  <c r="AP5" i="15"/>
  <c r="AP6" i="15"/>
  <c r="AP7" i="15"/>
  <c r="AP8" i="15"/>
  <c r="AP9" i="15"/>
  <c r="AP10" i="15"/>
  <c r="AP11" i="15"/>
  <c r="AP12" i="15"/>
  <c r="AP13" i="15"/>
  <c r="AP14" i="15"/>
  <c r="AP15" i="15"/>
  <c r="AP16" i="15"/>
  <c r="AP17" i="15"/>
  <c r="AP18" i="15"/>
  <c r="AP19" i="15"/>
  <c r="AP20" i="15"/>
  <c r="AP21" i="15"/>
  <c r="AP22" i="15"/>
  <c r="AP23" i="15"/>
  <c r="AP24" i="15"/>
  <c r="AP25" i="15"/>
  <c r="AP26" i="15"/>
  <c r="AP27" i="15"/>
  <c r="AP28" i="15"/>
  <c r="AP29" i="15"/>
  <c r="AP30" i="15"/>
  <c r="AP31" i="15"/>
  <c r="AP32" i="15"/>
  <c r="AP33" i="15"/>
  <c r="AP34" i="15"/>
  <c r="AP35" i="15"/>
  <c r="AP36" i="15"/>
  <c r="AP37" i="15"/>
  <c r="AP38" i="15"/>
  <c r="AP39" i="15"/>
  <c r="AP40" i="15"/>
  <c r="AP41" i="15"/>
  <c r="AP42" i="15"/>
  <c r="AP43" i="15"/>
  <c r="AP44" i="15"/>
  <c r="AP45" i="15"/>
  <c r="AP46" i="15"/>
  <c r="AP47" i="15"/>
  <c r="AP48" i="15"/>
  <c r="AP49" i="15"/>
  <c r="AP50" i="15"/>
  <c r="AP51" i="15"/>
  <c r="AP52" i="15"/>
  <c r="AP53" i="15"/>
  <c r="AP54" i="15"/>
  <c r="AP55" i="15"/>
  <c r="AP56" i="15"/>
  <c r="AP57" i="15"/>
  <c r="AP58" i="15"/>
  <c r="AP59" i="15"/>
  <c r="AP60" i="15"/>
  <c r="AP61" i="15"/>
  <c r="AP62" i="15"/>
  <c r="AP63" i="15"/>
  <c r="AP64" i="15"/>
  <c r="AP65" i="15"/>
  <c r="AP66" i="15"/>
  <c r="AP67" i="15"/>
  <c r="AP68" i="15"/>
  <c r="AP69" i="15"/>
  <c r="AP70" i="15"/>
  <c r="AP71" i="15"/>
  <c r="AP72" i="15"/>
  <c r="AP73" i="15"/>
  <c r="AP74" i="15"/>
  <c r="AP75" i="15"/>
  <c r="AP76" i="15"/>
  <c r="AP77" i="15"/>
  <c r="AP78" i="15"/>
  <c r="AP79" i="15"/>
  <c r="AP80" i="15"/>
  <c r="AP81" i="15"/>
  <c r="AP82" i="15"/>
  <c r="AP83" i="15"/>
  <c r="AP84" i="15"/>
  <c r="AP85" i="15"/>
  <c r="AP86" i="15"/>
  <c r="AP87" i="15"/>
  <c r="AP88" i="15"/>
  <c r="AP89" i="15"/>
  <c r="AO3" i="15"/>
  <c r="AO4" i="15"/>
  <c r="AO5" i="15"/>
  <c r="AO6" i="15"/>
  <c r="AO7" i="15"/>
  <c r="AO8" i="15"/>
  <c r="AO9" i="15"/>
  <c r="AO10" i="15"/>
  <c r="AO11" i="15"/>
  <c r="AO12" i="15"/>
  <c r="AO13" i="15"/>
  <c r="AO14" i="15"/>
  <c r="AO15" i="15"/>
  <c r="AO16" i="15"/>
  <c r="AO17" i="15"/>
  <c r="AO18" i="15"/>
  <c r="AO19" i="15"/>
  <c r="AO20" i="15"/>
  <c r="AO21" i="15"/>
  <c r="AO22" i="15"/>
  <c r="AO23" i="15"/>
  <c r="AO24" i="15"/>
  <c r="AO25" i="15"/>
  <c r="AO26" i="15"/>
  <c r="AO27" i="15"/>
  <c r="AO28" i="15"/>
  <c r="AO29" i="15"/>
  <c r="AO30" i="15"/>
  <c r="AO31" i="15"/>
  <c r="AO32" i="15"/>
  <c r="AO33" i="15"/>
  <c r="AO34" i="15"/>
  <c r="AO35" i="15"/>
  <c r="AO36" i="15"/>
  <c r="AO37" i="15"/>
  <c r="AO38" i="15"/>
  <c r="AO39" i="15"/>
  <c r="AO40" i="15"/>
  <c r="AO41" i="15"/>
  <c r="AO42" i="15"/>
  <c r="AO43" i="15"/>
  <c r="AO44" i="15"/>
  <c r="AO45" i="15"/>
  <c r="AO46" i="15"/>
  <c r="AO47" i="15"/>
  <c r="AO48" i="15"/>
  <c r="AO49" i="15"/>
  <c r="AO50" i="15"/>
  <c r="AO51" i="15"/>
  <c r="AO52" i="15"/>
  <c r="AO53" i="15"/>
  <c r="AO54" i="15"/>
  <c r="AO55" i="15"/>
  <c r="AO56" i="15"/>
  <c r="AO57" i="15"/>
  <c r="AO58" i="15"/>
  <c r="AO59" i="15"/>
  <c r="AO60" i="15"/>
  <c r="AO61" i="15"/>
  <c r="AO62" i="15"/>
  <c r="AO63" i="15"/>
  <c r="AO64" i="15"/>
  <c r="AO65" i="15"/>
  <c r="AO66" i="15"/>
  <c r="AO67" i="15"/>
  <c r="AO68" i="15"/>
  <c r="AO69" i="15"/>
  <c r="AO70" i="15"/>
  <c r="AO71" i="15"/>
  <c r="AO72" i="15"/>
  <c r="AO73" i="15"/>
  <c r="AO74" i="15"/>
  <c r="AO75" i="15"/>
  <c r="AO76" i="15"/>
  <c r="AO77" i="15"/>
  <c r="AO78" i="15"/>
  <c r="AO79" i="15"/>
  <c r="AO80" i="15"/>
  <c r="AO81" i="15"/>
  <c r="AO82" i="15"/>
  <c r="AO83" i="15"/>
  <c r="AO84" i="15"/>
  <c r="AO85" i="15"/>
  <c r="AO86" i="15"/>
  <c r="AO87" i="15"/>
  <c r="AO88" i="15"/>
  <c r="AO89" i="15"/>
  <c r="AL3" i="15"/>
  <c r="AL4" i="15"/>
  <c r="AL5" i="15"/>
  <c r="AL6" i="15"/>
  <c r="AL7" i="15"/>
  <c r="AL8" i="15"/>
  <c r="AL9" i="15"/>
  <c r="AL10" i="15"/>
  <c r="AL11" i="15"/>
  <c r="AL12" i="15"/>
  <c r="AL13" i="15"/>
  <c r="AL14" i="15"/>
  <c r="AL15" i="15"/>
  <c r="AL16" i="15"/>
  <c r="AL17" i="15"/>
  <c r="AL18" i="15"/>
  <c r="AL19" i="15"/>
  <c r="AL20" i="15"/>
  <c r="AL21" i="15"/>
  <c r="AL22" i="15"/>
  <c r="AL23" i="15"/>
  <c r="AL24" i="15"/>
  <c r="AL25" i="15"/>
  <c r="AL26" i="15"/>
  <c r="AL27" i="15"/>
  <c r="AL28" i="15"/>
  <c r="AL29" i="15"/>
  <c r="AL30" i="15"/>
  <c r="AL31" i="15"/>
  <c r="AL32" i="15"/>
  <c r="AL33" i="15"/>
  <c r="AL34" i="15"/>
  <c r="AL35" i="15"/>
  <c r="AL36" i="15"/>
  <c r="AL37" i="15"/>
  <c r="AL38" i="15"/>
  <c r="AL39" i="15"/>
  <c r="AL40" i="15"/>
  <c r="AL41" i="15"/>
  <c r="AL42" i="15"/>
  <c r="AL43" i="15"/>
  <c r="AL44" i="15"/>
  <c r="AL45" i="15"/>
  <c r="AL46" i="15"/>
  <c r="AL47" i="15"/>
  <c r="AL48" i="15"/>
  <c r="AL49" i="15"/>
  <c r="AL50" i="15"/>
  <c r="AL51" i="15"/>
  <c r="AL52" i="15"/>
  <c r="AL53" i="15"/>
  <c r="AL54" i="15"/>
  <c r="AL55" i="15"/>
  <c r="AL56" i="15"/>
  <c r="AL57" i="15"/>
  <c r="AL58" i="15"/>
  <c r="AL59" i="15"/>
  <c r="AL60" i="15"/>
  <c r="AL61" i="15"/>
  <c r="AL62" i="15"/>
  <c r="AL63" i="15"/>
  <c r="AL64" i="15"/>
  <c r="AL65" i="15"/>
  <c r="AL66" i="15"/>
  <c r="AL67" i="15"/>
  <c r="AL68" i="15"/>
  <c r="AL69" i="15"/>
  <c r="AL70" i="15"/>
  <c r="AL71" i="15"/>
  <c r="AL72" i="15"/>
  <c r="AL73" i="15"/>
  <c r="AL74" i="15"/>
  <c r="AL75" i="15"/>
  <c r="AL76" i="15"/>
  <c r="AL77" i="15"/>
  <c r="AL78" i="15"/>
  <c r="AL79" i="15"/>
  <c r="AL80" i="15"/>
  <c r="AL81" i="15"/>
  <c r="AL82" i="15"/>
  <c r="AL83" i="15"/>
  <c r="AL84" i="15"/>
  <c r="AL85" i="15"/>
  <c r="AL86" i="15"/>
  <c r="AL87" i="15"/>
  <c r="AL88" i="15"/>
  <c r="AL89" i="15"/>
  <c r="AK3" i="15"/>
  <c r="AK4" i="15"/>
  <c r="AK5" i="15"/>
  <c r="AK6" i="15"/>
  <c r="AK7" i="15"/>
  <c r="AK8" i="15"/>
  <c r="AK9" i="15"/>
  <c r="AK10" i="15"/>
  <c r="AK11" i="15"/>
  <c r="AK12" i="15"/>
  <c r="AK13" i="15"/>
  <c r="AK14" i="15"/>
  <c r="AK15" i="15"/>
  <c r="AK16" i="15"/>
  <c r="AK17" i="15"/>
  <c r="AK18" i="15"/>
  <c r="AK19" i="15"/>
  <c r="AK20" i="15"/>
  <c r="AK21" i="15"/>
  <c r="AK22" i="15"/>
  <c r="AK23" i="15"/>
  <c r="AK24" i="15"/>
  <c r="AK25" i="15"/>
  <c r="AK26" i="15"/>
  <c r="AK27" i="15"/>
  <c r="AK28" i="15"/>
  <c r="AK29" i="15"/>
  <c r="AK30" i="15"/>
  <c r="AK31" i="15"/>
  <c r="AK32" i="15"/>
  <c r="AK33" i="15"/>
  <c r="AK34" i="15"/>
  <c r="AK35" i="15"/>
  <c r="AK36" i="15"/>
  <c r="AK37" i="15"/>
  <c r="AK38" i="15"/>
  <c r="AK39" i="15"/>
  <c r="AK40" i="15"/>
  <c r="AK41" i="15"/>
  <c r="AK42" i="15"/>
  <c r="AK43" i="15"/>
  <c r="AK44" i="15"/>
  <c r="AK45" i="15"/>
  <c r="AK46" i="15"/>
  <c r="AK47" i="15"/>
  <c r="AK48" i="15"/>
  <c r="AK49" i="15"/>
  <c r="AK50" i="15"/>
  <c r="AK51" i="15"/>
  <c r="AK52" i="15"/>
  <c r="AK53" i="15"/>
  <c r="AK54" i="15"/>
  <c r="AK55" i="15"/>
  <c r="AK56" i="15"/>
  <c r="AK57" i="15"/>
  <c r="AK58" i="15"/>
  <c r="AK59" i="15"/>
  <c r="AK60" i="15"/>
  <c r="AK61" i="15"/>
  <c r="AK62" i="15"/>
  <c r="AK63" i="15"/>
  <c r="AK64" i="15"/>
  <c r="AK65" i="15"/>
  <c r="AK66" i="15"/>
  <c r="AK67" i="15"/>
  <c r="AK68" i="15"/>
  <c r="AK69" i="15"/>
  <c r="AK70" i="15"/>
  <c r="AK71" i="15"/>
  <c r="AK72" i="15"/>
  <c r="AK73" i="15"/>
  <c r="AK74" i="15"/>
  <c r="AK75" i="15"/>
  <c r="AK76" i="15"/>
  <c r="AK77" i="15"/>
  <c r="AK78" i="15"/>
  <c r="AK79" i="15"/>
  <c r="AK80" i="15"/>
  <c r="AK81" i="15"/>
  <c r="AK82" i="15"/>
  <c r="AK83" i="15"/>
  <c r="AK84" i="15"/>
  <c r="AK85" i="15"/>
  <c r="AK86" i="15"/>
  <c r="AK87" i="15"/>
  <c r="AK88" i="15"/>
  <c r="AK89" i="15"/>
  <c r="AJ3" i="15"/>
  <c r="AJ4" i="15"/>
  <c r="AJ5" i="15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AJ34" i="15"/>
  <c r="AJ35" i="15"/>
  <c r="AJ36" i="15"/>
  <c r="AJ37" i="15"/>
  <c r="AJ38" i="15"/>
  <c r="AJ39" i="15"/>
  <c r="AJ40" i="15"/>
  <c r="AJ41" i="15"/>
  <c r="AJ42" i="15"/>
  <c r="AJ43" i="15"/>
  <c r="AJ44" i="15"/>
  <c r="AJ45" i="15"/>
  <c r="AJ46" i="15"/>
  <c r="AJ47" i="15"/>
  <c r="AJ48" i="15"/>
  <c r="AJ49" i="15"/>
  <c r="AJ50" i="15"/>
  <c r="AJ51" i="15"/>
  <c r="AJ52" i="15"/>
  <c r="AJ53" i="15"/>
  <c r="AJ54" i="15"/>
  <c r="AJ55" i="15"/>
  <c r="AJ56" i="15"/>
  <c r="AJ57" i="15"/>
  <c r="AJ58" i="15"/>
  <c r="AJ59" i="15"/>
  <c r="AJ60" i="15"/>
  <c r="AJ61" i="15"/>
  <c r="AJ62" i="15"/>
  <c r="AJ63" i="15"/>
  <c r="AJ64" i="15"/>
  <c r="AJ65" i="15"/>
  <c r="AJ66" i="15"/>
  <c r="AJ67" i="15"/>
  <c r="AJ68" i="15"/>
  <c r="AJ69" i="15"/>
  <c r="AJ70" i="15"/>
  <c r="AJ71" i="15"/>
  <c r="AJ72" i="15"/>
  <c r="AJ73" i="15"/>
  <c r="AJ74" i="15"/>
  <c r="AJ75" i="15"/>
  <c r="AJ76" i="15"/>
  <c r="AJ77" i="15"/>
  <c r="AJ78" i="15"/>
  <c r="AJ79" i="15"/>
  <c r="AJ80" i="15"/>
  <c r="AJ81" i="15"/>
  <c r="AJ82" i="15"/>
  <c r="AJ83" i="15"/>
  <c r="AJ84" i="15"/>
  <c r="AJ85" i="15"/>
  <c r="AJ86" i="15"/>
  <c r="AJ87" i="15"/>
  <c r="AJ88" i="15"/>
  <c r="AJ89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9" i="15"/>
  <c r="AI40" i="15"/>
  <c r="AI41" i="15"/>
  <c r="AI42" i="15"/>
  <c r="AI43" i="15"/>
  <c r="AI44" i="15"/>
  <c r="AI45" i="15"/>
  <c r="AI46" i="15"/>
  <c r="AI47" i="15"/>
  <c r="AI48" i="15"/>
  <c r="AI49" i="15"/>
  <c r="AI50" i="15"/>
  <c r="AI51" i="15"/>
  <c r="AI52" i="15"/>
  <c r="AI53" i="15"/>
  <c r="AI54" i="15"/>
  <c r="AI55" i="15"/>
  <c r="AI56" i="15"/>
  <c r="AI57" i="15"/>
  <c r="AI58" i="15"/>
  <c r="AI59" i="15"/>
  <c r="AI60" i="15"/>
  <c r="AI61" i="15"/>
  <c r="AI62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AI77" i="15"/>
  <c r="AI78" i="15"/>
  <c r="AI79" i="15"/>
  <c r="AI80" i="15"/>
  <c r="AI81" i="15"/>
  <c r="AI82" i="15"/>
  <c r="AI83" i="15"/>
  <c r="AI84" i="15"/>
  <c r="AI85" i="15"/>
  <c r="AI86" i="15"/>
  <c r="AI87" i="15"/>
  <c r="AI88" i="15"/>
  <c r="AI89" i="15"/>
  <c r="AF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F36" i="15"/>
  <c r="AF37" i="15"/>
  <c r="AF38" i="15"/>
  <c r="AF39" i="15"/>
  <c r="AF40" i="15"/>
  <c r="AF41" i="15"/>
  <c r="AF42" i="15"/>
  <c r="AF43" i="15"/>
  <c r="AF44" i="15"/>
  <c r="AF45" i="15"/>
  <c r="AF46" i="15"/>
  <c r="AF47" i="15"/>
  <c r="AF48" i="15"/>
  <c r="AF49" i="15"/>
  <c r="AF50" i="15"/>
  <c r="AF51" i="15"/>
  <c r="AF52" i="15"/>
  <c r="AF53" i="15"/>
  <c r="AF54" i="15"/>
  <c r="AF55" i="15"/>
  <c r="AF56" i="15"/>
  <c r="AF57" i="15"/>
  <c r="AF58" i="15"/>
  <c r="AF59" i="15"/>
  <c r="AF60" i="15"/>
  <c r="AF61" i="15"/>
  <c r="AF62" i="15"/>
  <c r="AF63" i="15"/>
  <c r="AF64" i="15"/>
  <c r="AF65" i="15"/>
  <c r="AF66" i="15"/>
  <c r="AF67" i="15"/>
  <c r="AF68" i="15"/>
  <c r="AF69" i="15"/>
  <c r="AF70" i="15"/>
  <c r="AF71" i="15"/>
  <c r="AF72" i="15"/>
  <c r="AF73" i="15"/>
  <c r="AF74" i="15"/>
  <c r="AF75" i="15"/>
  <c r="AF76" i="15"/>
  <c r="AF77" i="15"/>
  <c r="AF78" i="15"/>
  <c r="AF79" i="15"/>
  <c r="AF80" i="15"/>
  <c r="AF81" i="15"/>
  <c r="AF82" i="15"/>
  <c r="AF83" i="15"/>
  <c r="AF84" i="15"/>
  <c r="AF85" i="15"/>
  <c r="AF86" i="15"/>
  <c r="AF87" i="15"/>
  <c r="AF88" i="15"/>
  <c r="AF89" i="15"/>
  <c r="B4" i="3"/>
  <c r="D8" i="12"/>
  <c r="B5" i="3"/>
  <c r="I8" i="13"/>
  <c r="I73" i="13"/>
  <c r="I58" i="13"/>
  <c r="R6" i="15"/>
  <c r="R3" i="15"/>
  <c r="R4" i="15"/>
  <c r="R5" i="15"/>
  <c r="R7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6" i="15"/>
  <c r="R27" i="15"/>
  <c r="R28" i="15"/>
  <c r="R29" i="15"/>
  <c r="R30" i="15"/>
  <c r="R31" i="15"/>
  <c r="R32" i="15"/>
  <c r="R33" i="15"/>
  <c r="R34" i="15"/>
  <c r="R35" i="15"/>
  <c r="R36" i="15"/>
  <c r="R37" i="15"/>
  <c r="R38" i="15"/>
  <c r="R39" i="15"/>
  <c r="R56" i="15"/>
  <c r="R57" i="15"/>
  <c r="R58" i="15"/>
  <c r="R59" i="15"/>
  <c r="R60" i="15"/>
  <c r="R61" i="15"/>
  <c r="R62" i="15"/>
  <c r="R63" i="15"/>
  <c r="R64" i="15"/>
  <c r="R65" i="15"/>
  <c r="R66" i="15"/>
  <c r="R67" i="15"/>
  <c r="R68" i="15"/>
  <c r="R69" i="15"/>
  <c r="R70" i="15"/>
  <c r="R71" i="15"/>
  <c r="R72" i="15"/>
  <c r="R73" i="15"/>
  <c r="R74" i="15"/>
  <c r="R75" i="15"/>
  <c r="R76" i="15"/>
  <c r="R77" i="15"/>
  <c r="R78" i="15"/>
  <c r="R79" i="15"/>
  <c r="R80" i="15"/>
  <c r="R81" i="15"/>
  <c r="R82" i="15"/>
  <c r="R83" i="15"/>
  <c r="R84" i="15"/>
  <c r="R85" i="15"/>
  <c r="R86" i="15"/>
  <c r="R87" i="15"/>
  <c r="R88" i="15"/>
  <c r="R89" i="15"/>
  <c r="R40" i="15"/>
  <c r="R41" i="15"/>
  <c r="R42" i="15"/>
  <c r="R43" i="15"/>
  <c r="R44" i="15"/>
  <c r="R45" i="15"/>
  <c r="R46" i="15"/>
  <c r="R47" i="15"/>
  <c r="R48" i="15"/>
  <c r="R49" i="15"/>
  <c r="R50" i="15"/>
  <c r="R51" i="15"/>
  <c r="R52" i="15"/>
  <c r="R53" i="15"/>
  <c r="R54" i="15"/>
  <c r="R55" i="15"/>
  <c r="B4" i="15"/>
  <c r="B29" i="15"/>
  <c r="B36" i="15"/>
  <c r="B44" i="15"/>
  <c r="B57" i="15"/>
  <c r="B70" i="15"/>
  <c r="B6" i="15"/>
  <c r="B27" i="15"/>
  <c r="B48" i="15"/>
  <c r="B75" i="15"/>
  <c r="B30" i="15"/>
  <c r="B56" i="15"/>
  <c r="B59" i="15"/>
  <c r="B62" i="15"/>
  <c r="B10" i="15"/>
  <c r="B46" i="15"/>
  <c r="B51" i="15"/>
  <c r="B55" i="15"/>
  <c r="B76" i="15"/>
  <c r="B84" i="15"/>
  <c r="B13" i="15"/>
  <c r="B64" i="15"/>
  <c r="A6" i="12"/>
  <c r="A7" i="12"/>
  <c r="F79" i="13"/>
  <c r="F33" i="15" s="1"/>
  <c r="F32" i="13"/>
  <c r="F27" i="15" s="1"/>
  <c r="F74" i="13"/>
  <c r="F83" i="15" s="1"/>
  <c r="T29" i="12"/>
  <c r="T7" i="12"/>
  <c r="T21" i="12"/>
  <c r="M35" i="13"/>
  <c r="T13" i="12"/>
  <c r="M42" i="13"/>
  <c r="M69" i="13"/>
  <c r="T9" i="12"/>
  <c r="M86" i="13"/>
  <c r="AE80" i="15" s="1"/>
  <c r="B33" i="7"/>
  <c r="T27" i="12"/>
  <c r="B37" i="7"/>
  <c r="T19" i="12"/>
  <c r="J47" i="13"/>
  <c r="G6" i="12"/>
  <c r="J44" i="13"/>
  <c r="G10" i="12"/>
  <c r="D8" i="5"/>
  <c r="J68" i="13"/>
  <c r="J43" i="13"/>
  <c r="G25" i="12"/>
  <c r="G27" i="12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4" i="15"/>
  <c r="G72" i="15"/>
  <c r="G71" i="15"/>
  <c r="G70" i="15"/>
  <c r="G73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3" i="15"/>
  <c r="B3" i="15"/>
  <c r="B18" i="15"/>
  <c r="B34" i="15"/>
  <c r="B35" i="15"/>
  <c r="B37" i="15"/>
  <c r="B41" i="15"/>
  <c r="B45" i="15"/>
  <c r="B47" i="15"/>
  <c r="B54" i="15"/>
  <c r="B74" i="15"/>
  <c r="B71" i="15"/>
  <c r="B73" i="15"/>
  <c r="B81" i="15"/>
  <c r="B5" i="15"/>
  <c r="B26" i="15"/>
  <c r="B31" i="15"/>
  <c r="B43" i="15"/>
  <c r="B63" i="15"/>
  <c r="B67" i="15"/>
  <c r="B69" i="15"/>
  <c r="B86" i="15"/>
  <c r="B7" i="15"/>
  <c r="B17" i="15"/>
  <c r="B22" i="15"/>
  <c r="B24" i="15"/>
  <c r="B25" i="15"/>
  <c r="B52" i="15"/>
  <c r="B82" i="15"/>
  <c r="B9" i="15"/>
  <c r="B14" i="15"/>
  <c r="B65" i="15"/>
  <c r="B79" i="15"/>
  <c r="B78" i="15"/>
  <c r="B85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4" i="15"/>
  <c r="A72" i="15"/>
  <c r="A71" i="15"/>
  <c r="A70" i="15"/>
  <c r="A73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H23" i="8"/>
  <c r="A4" i="4"/>
  <c r="A6" i="4"/>
  <c r="A5" i="4"/>
  <c r="A8" i="4"/>
  <c r="A9" i="4"/>
  <c r="A7" i="4"/>
  <c r="A12" i="4"/>
  <c r="A10" i="4"/>
  <c r="A11" i="4"/>
  <c r="A15" i="4"/>
  <c r="A13" i="4"/>
  <c r="A14" i="4"/>
  <c r="A16" i="4"/>
  <c r="A17" i="4"/>
  <c r="A18" i="4"/>
  <c r="A3" i="3"/>
  <c r="A5" i="3"/>
  <c r="A25" i="3"/>
  <c r="A13" i="3"/>
  <c r="A14" i="5"/>
  <c r="A13" i="5"/>
  <c r="A10" i="5"/>
  <c r="A9" i="5"/>
  <c r="A11" i="5"/>
  <c r="A20" i="5"/>
  <c r="A19" i="5"/>
  <c r="A18" i="5"/>
  <c r="A23" i="5"/>
  <c r="A22" i="5"/>
  <c r="A21" i="5"/>
  <c r="A27" i="5"/>
  <c r="A28" i="5"/>
  <c r="A29" i="5"/>
  <c r="A25" i="5"/>
  <c r="A26" i="5"/>
  <c r="A24" i="5"/>
  <c r="A15" i="5"/>
  <c r="A17" i="5"/>
  <c r="A16" i="5"/>
  <c r="A3" i="5"/>
  <c r="A5" i="5"/>
  <c r="A4" i="5"/>
  <c r="A6" i="5"/>
  <c r="A7" i="5"/>
  <c r="A8" i="5"/>
  <c r="A32" i="5"/>
  <c r="A30" i="5"/>
  <c r="A31" i="5"/>
  <c r="A12" i="5"/>
  <c r="G26" i="13"/>
  <c r="E81" i="15" s="1"/>
  <c r="G23" i="13"/>
  <c r="E71" i="15" s="1"/>
  <c r="B21" i="3"/>
  <c r="B29" i="3"/>
  <c r="B8" i="3"/>
  <c r="B14" i="3"/>
  <c r="B10" i="3"/>
  <c r="B15" i="3"/>
  <c r="B11" i="3"/>
  <c r="B7" i="3"/>
  <c r="B12" i="3"/>
  <c r="B17" i="3"/>
  <c r="O8" i="17"/>
  <c r="I8" i="17"/>
  <c r="W8" i="17"/>
  <c r="G12" i="17"/>
  <c r="G8" i="17"/>
  <c r="K10" i="17"/>
  <c r="M11" i="17"/>
  <c r="Q13" i="17"/>
  <c r="M15" i="17"/>
  <c r="S10" i="17"/>
  <c r="G15" i="17"/>
  <c r="G11" i="17"/>
  <c r="K13" i="17"/>
  <c r="K9" i="17"/>
  <c r="Q8" i="17"/>
  <c r="M10" i="17"/>
  <c r="Q16" i="17"/>
  <c r="S9" i="17"/>
  <c r="S13" i="17"/>
  <c r="G10" i="17"/>
  <c r="K8" i="17"/>
  <c r="M9" i="17"/>
  <c r="M13" i="17"/>
  <c r="O14" i="17"/>
  <c r="S8" i="17"/>
  <c r="W10" i="17"/>
  <c r="S12" i="17"/>
  <c r="G13" i="17"/>
  <c r="G9" i="17"/>
  <c r="M12" i="17"/>
  <c r="S11" i="17"/>
  <c r="I6" i="17"/>
  <c r="M7" i="17"/>
  <c r="M4" i="17"/>
  <c r="S7" i="17"/>
  <c r="G6" i="17"/>
  <c r="U4" i="17"/>
  <c r="G5" i="17"/>
  <c r="W4" i="17"/>
  <c r="S6" i="17"/>
  <c r="M5" i="17"/>
  <c r="G4" i="17"/>
  <c r="O4" i="17"/>
  <c r="M6" i="17"/>
  <c r="S5" i="17"/>
  <c r="U6" i="17"/>
  <c r="B6" i="7"/>
  <c r="G7" i="17"/>
  <c r="S4" i="17"/>
  <c r="L30" i="13"/>
  <c r="L29" i="13"/>
  <c r="L36" i="13"/>
  <c r="F16" i="13"/>
  <c r="F44" i="15" s="1"/>
  <c r="L14" i="13"/>
  <c r="I33" i="13"/>
  <c r="T31" i="15" s="1"/>
  <c r="L47" i="13"/>
  <c r="L82" i="13"/>
  <c r="L39" i="13"/>
  <c r="L28" i="13"/>
  <c r="L26" i="13"/>
  <c r="L17" i="13"/>
  <c r="F72" i="13"/>
  <c r="F77" i="15" s="1"/>
  <c r="F73" i="13"/>
  <c r="F79" i="15" s="1"/>
  <c r="S6" i="4"/>
  <c r="M14" i="4"/>
  <c r="B30" i="3"/>
  <c r="B26" i="3"/>
  <c r="B22" i="3"/>
  <c r="B18" i="3"/>
  <c r="B6" i="3"/>
  <c r="G76" i="13"/>
  <c r="E13" i="15" s="1"/>
  <c r="K89" i="13"/>
  <c r="K34" i="13"/>
  <c r="S5" i="4"/>
  <c r="G5" i="4"/>
  <c r="M5" i="4"/>
  <c r="S13" i="4"/>
  <c r="G13" i="4"/>
  <c r="M13" i="4"/>
  <c r="S17" i="4"/>
  <c r="G17" i="4"/>
  <c r="M17" i="4"/>
  <c r="G16" i="4"/>
  <c r="B20" i="3"/>
  <c r="K10" i="13"/>
  <c r="W39" i="15" s="1"/>
  <c r="M12" i="4"/>
  <c r="L8" i="13"/>
  <c r="K82" i="13"/>
  <c r="S7" i="4"/>
  <c r="S15" i="4"/>
  <c r="D7" i="5"/>
  <c r="B31" i="3"/>
  <c r="B27" i="3"/>
  <c r="B23" i="3"/>
  <c r="B19" i="3"/>
  <c r="L77" i="13"/>
  <c r="L6" i="13"/>
  <c r="L61" i="13"/>
  <c r="AN14" i="15" s="1"/>
  <c r="L75" i="13"/>
  <c r="L11" i="13"/>
  <c r="L10" i="13"/>
  <c r="A4" i="18"/>
  <c r="A5" i="18"/>
  <c r="A7" i="18"/>
  <c r="A9" i="18"/>
  <c r="A11" i="18"/>
  <c r="A10" i="18"/>
  <c r="A6" i="18"/>
  <c r="A8" i="18"/>
  <c r="A9" i="3"/>
  <c r="A31" i="3"/>
  <c r="A23" i="3"/>
  <c r="A21" i="3"/>
  <c r="A22" i="3"/>
  <c r="A32" i="3"/>
  <c r="A30" i="3"/>
  <c r="A6" i="3"/>
  <c r="A27" i="3"/>
  <c r="A24" i="3"/>
  <c r="A11" i="3"/>
  <c r="A29" i="3"/>
  <c r="A18" i="3"/>
  <c r="A12" i="3"/>
  <c r="A33" i="3"/>
  <c r="A14" i="3"/>
  <c r="A28" i="3"/>
  <c r="A4" i="3"/>
  <c r="A17" i="3"/>
  <c r="A15" i="3"/>
  <c r="A8" i="3"/>
  <c r="A7" i="3"/>
  <c r="A20" i="3"/>
  <c r="A16" i="3"/>
  <c r="A19" i="3"/>
  <c r="A10" i="3"/>
  <c r="J67" i="13"/>
  <c r="L34" i="13"/>
  <c r="J33" i="13"/>
  <c r="AB31" i="15" s="1"/>
  <c r="L16" i="13"/>
  <c r="L68" i="13"/>
  <c r="AN61" i="15" s="1"/>
  <c r="L84" i="13"/>
  <c r="AN68" i="15" s="1"/>
  <c r="K44" i="13"/>
  <c r="K79" i="13"/>
  <c r="L5" i="13"/>
  <c r="L69" i="13"/>
  <c r="G40" i="13"/>
  <c r="E75" i="15" s="1"/>
  <c r="G10" i="13"/>
  <c r="E39" i="15" s="1"/>
  <c r="G69" i="13"/>
  <c r="E65" i="15" s="1"/>
  <c r="G86" i="13"/>
  <c r="E80" i="15" s="1"/>
  <c r="G56" i="13"/>
  <c r="G18" i="13"/>
  <c r="G70" i="13"/>
  <c r="G9" i="13"/>
  <c r="G73" i="13"/>
  <c r="E79" i="15" s="1"/>
  <c r="G21" i="13"/>
  <c r="E74" i="15" s="1"/>
  <c r="G31" i="13"/>
  <c r="E26" i="15" s="1"/>
  <c r="G38" i="13"/>
  <c r="E67" i="15" s="1"/>
  <c r="G68" i="13"/>
  <c r="E61" i="15" s="1"/>
  <c r="G8" i="13"/>
  <c r="E29" i="15" s="1"/>
  <c r="G13" i="13"/>
  <c r="E37" i="15" s="1"/>
  <c r="G16" i="13"/>
  <c r="E44" i="15" s="1"/>
  <c r="G32" i="13"/>
  <c r="E27" i="15" s="1"/>
  <c r="G81" i="13"/>
  <c r="E58" i="15" s="1"/>
  <c r="G48" i="13"/>
  <c r="G19" i="13"/>
  <c r="E54" i="15" s="1"/>
  <c r="G60" i="13"/>
  <c r="E10" i="15" s="1"/>
  <c r="G25" i="13"/>
  <c r="E73" i="15" s="1"/>
  <c r="G64" i="13"/>
  <c r="G53" i="13"/>
  <c r="E52" i="15" s="1"/>
  <c r="G51" i="13"/>
  <c r="E30" i="15" s="1"/>
  <c r="G77" i="13"/>
  <c r="E15" i="15" s="1"/>
  <c r="G22" i="13"/>
  <c r="E72" i="15" s="1"/>
  <c r="G67" i="13"/>
  <c r="E55" i="15" s="1"/>
  <c r="G3" i="13"/>
  <c r="E3" i="15" s="1"/>
  <c r="G42" i="13"/>
  <c r="E87" i="15" s="1"/>
  <c r="G58" i="13"/>
  <c r="N58" i="13" s="1"/>
  <c r="G85" i="13"/>
  <c r="E78" i="15" s="1"/>
  <c r="G34" i="13"/>
  <c r="E32" i="15" s="1"/>
  <c r="G89" i="13"/>
  <c r="G5" i="13"/>
  <c r="E12" i="15" s="1"/>
  <c r="G46" i="13"/>
  <c r="G75" i="13"/>
  <c r="E84" i="15" s="1"/>
  <c r="G84" i="13"/>
  <c r="G6" i="13"/>
  <c r="E16" i="15" s="1"/>
  <c r="G36" i="13"/>
  <c r="E48" i="15" s="1"/>
  <c r="G57" i="13"/>
  <c r="E82" i="15" s="1"/>
  <c r="G49" i="13"/>
  <c r="E25" i="15" s="1"/>
  <c r="G83" i="13"/>
  <c r="G11" i="13"/>
  <c r="E35" i="15" s="1"/>
  <c r="G61" i="13"/>
  <c r="E14" i="15" s="1"/>
  <c r="G82" i="13"/>
  <c r="G63" i="13"/>
  <c r="E46" i="15" s="1"/>
  <c r="G17" i="13"/>
  <c r="E45" i="15" s="1"/>
  <c r="G72" i="13"/>
  <c r="E77" i="15" s="1"/>
  <c r="G44" i="13"/>
  <c r="E11" i="15" s="1"/>
  <c r="G78" i="13"/>
  <c r="G35" i="13"/>
  <c r="G55" i="13"/>
  <c r="E59" i="15" s="1"/>
  <c r="G30" i="13"/>
  <c r="E23" i="15" s="1"/>
  <c r="G12" i="13"/>
  <c r="G43" i="13"/>
  <c r="E7" i="15" s="1"/>
  <c r="G88" i="13"/>
  <c r="E88" i="15" s="1"/>
  <c r="G28" i="13"/>
  <c r="E6" i="15" s="1"/>
  <c r="G47" i="13"/>
  <c r="G62" i="13"/>
  <c r="K87" i="13"/>
  <c r="W72" i="15" s="1"/>
  <c r="K88" i="13"/>
  <c r="W88" i="15" s="1"/>
  <c r="K45" i="13"/>
  <c r="L65" i="13"/>
  <c r="AN51" i="15" s="1"/>
  <c r="L80" i="13"/>
  <c r="K76" i="13"/>
  <c r="L73" i="13"/>
  <c r="L78" i="13"/>
  <c r="AN20" i="15" s="1"/>
  <c r="L62" i="13"/>
  <c r="L60" i="13"/>
  <c r="L83" i="13"/>
  <c r="AN64" i="15" s="1"/>
  <c r="L70" i="13"/>
  <c r="L64" i="13"/>
  <c r="L79" i="13"/>
  <c r="AN12" i="15" s="1"/>
  <c r="L42" i="13"/>
  <c r="L3" i="13"/>
  <c r="AN3" i="15" s="1"/>
  <c r="J9" i="13"/>
  <c r="L7" i="13"/>
  <c r="AN18" i="15" s="1"/>
  <c r="L66" i="13"/>
  <c r="L71" i="13"/>
  <c r="L81" i="13"/>
  <c r="L74" i="13"/>
  <c r="L12" i="13"/>
  <c r="L85" i="13"/>
  <c r="L89" i="13"/>
  <c r="L86" i="13"/>
  <c r="AN80" i="15" s="1"/>
  <c r="L40" i="13"/>
  <c r="K81" i="13"/>
  <c r="K74" i="13"/>
  <c r="K85" i="13"/>
  <c r="I40" i="13"/>
  <c r="T75" i="15" s="1"/>
  <c r="I70" i="13"/>
  <c r="I78" i="13"/>
  <c r="G15" i="13"/>
  <c r="E41" i="15" s="1"/>
  <c r="G39" i="13"/>
  <c r="E69" i="15" s="1"/>
  <c r="G65" i="13"/>
  <c r="E51" i="15" s="1"/>
  <c r="G27" i="13"/>
  <c r="E5" i="15" s="1"/>
  <c r="G14" i="13"/>
  <c r="E40" i="15" s="1"/>
  <c r="G74" i="13"/>
  <c r="G7" i="13"/>
  <c r="G52" i="13"/>
  <c r="G87" i="13"/>
  <c r="E85" i="15" s="1"/>
  <c r="G41" i="13"/>
  <c r="E86" i="15" s="1"/>
  <c r="G80" i="13"/>
  <c r="E49" i="15" s="1"/>
  <c r="G4" i="13"/>
  <c r="E4" i="15" s="1"/>
  <c r="G29" i="13"/>
  <c r="E19" i="15" s="1"/>
  <c r="G59" i="13"/>
  <c r="E9" i="15" s="1"/>
  <c r="F39" i="13"/>
  <c r="F69" i="15" s="1"/>
  <c r="F42" i="13"/>
  <c r="F87" i="15" s="1"/>
  <c r="F38" i="13"/>
  <c r="F67" i="15" s="1"/>
  <c r="F87" i="13"/>
  <c r="F85" i="15" s="1"/>
  <c r="L43" i="13"/>
  <c r="L56" i="13"/>
  <c r="AN62" i="15" s="1"/>
  <c r="L67" i="13"/>
  <c r="L87" i="13"/>
  <c r="L58" i="13"/>
  <c r="L51" i="13"/>
  <c r="L63" i="13"/>
  <c r="I20" i="13"/>
  <c r="I30" i="13"/>
  <c r="I11" i="13"/>
  <c r="I82" i="13"/>
  <c r="I45" i="13"/>
  <c r="K65" i="13"/>
  <c r="K40" i="13"/>
  <c r="K32" i="13"/>
  <c r="K53" i="13"/>
  <c r="K66" i="13"/>
  <c r="K14" i="13"/>
  <c r="W40" i="15" s="1"/>
  <c r="K60" i="13"/>
  <c r="K33" i="13"/>
  <c r="W31" i="15" s="1"/>
  <c r="K26" i="13"/>
  <c r="L53" i="13"/>
  <c r="L50" i="13"/>
  <c r="AN28" i="15" s="1"/>
  <c r="L57" i="13"/>
  <c r="L44" i="13"/>
  <c r="L49" i="13"/>
  <c r="AN25" i="15" s="1"/>
  <c r="L9" i="13"/>
  <c r="AN53" i="15" s="1"/>
  <c r="L55" i="13"/>
  <c r="AN59" i="15" s="1"/>
  <c r="L54" i="13"/>
  <c r="AN56" i="15" s="1"/>
  <c r="L45" i="13"/>
  <c r="L35" i="13"/>
  <c r="K17" i="13"/>
  <c r="K48" i="13"/>
  <c r="W24" i="15" s="1"/>
  <c r="K6" i="13"/>
  <c r="L15" i="13"/>
  <c r="L19" i="13"/>
  <c r="AN54" i="15" s="1"/>
  <c r="K38" i="13"/>
  <c r="W67" i="15" s="1"/>
  <c r="L41" i="13"/>
  <c r="AN86" i="15" s="1"/>
  <c r="K56" i="13"/>
  <c r="W62" i="15" s="1"/>
  <c r="K30" i="13"/>
  <c r="W23" i="15" s="1"/>
  <c r="D5" i="12"/>
  <c r="L52" i="13"/>
  <c r="U8" i="15"/>
  <c r="M71" i="13"/>
  <c r="AE76" i="15" s="1"/>
  <c r="M31" i="13"/>
  <c r="G5" i="12"/>
  <c r="AN75" i="15"/>
  <c r="AN87" i="15"/>
  <c r="M64" i="13"/>
  <c r="M3" i="13"/>
  <c r="AE3" i="15" s="1"/>
  <c r="J54" i="13"/>
  <c r="F76" i="13"/>
  <c r="F13" i="15" s="1"/>
  <c r="F58" i="13"/>
  <c r="F8" i="15" s="1"/>
  <c r="L32" i="13"/>
  <c r="L22" i="13"/>
  <c r="L59" i="13"/>
  <c r="AN9" i="15" s="1"/>
  <c r="L24" i="13"/>
  <c r="AN70" i="15" s="1"/>
  <c r="F85" i="13"/>
  <c r="F78" i="15" s="1"/>
  <c r="L20" i="13"/>
  <c r="L21" i="13"/>
  <c r="AN39" i="15" s="1"/>
  <c r="F83" i="13"/>
  <c r="F64" i="15" s="1"/>
  <c r="M20" i="13"/>
  <c r="J39" i="13"/>
  <c r="F89" i="13"/>
  <c r="F89" i="15" s="1"/>
  <c r="M73" i="13"/>
  <c r="M15" i="13"/>
  <c r="B7" i="7"/>
  <c r="L13" i="13"/>
  <c r="L23" i="13"/>
  <c r="S15" i="17"/>
  <c r="L25" i="13"/>
  <c r="AN73" i="15" s="1"/>
  <c r="F70" i="13"/>
  <c r="F66" i="15" s="1"/>
  <c r="F8" i="13"/>
  <c r="F29" i="15" s="1"/>
  <c r="B21" i="7"/>
  <c r="F19" i="13"/>
  <c r="F54" i="15" s="1"/>
  <c r="F10" i="13"/>
  <c r="F39" i="15" s="1"/>
  <c r="F9" i="13"/>
  <c r="F34" i="15" s="1"/>
  <c r="L88" i="13"/>
  <c r="F25" i="13"/>
  <c r="F73" i="15" s="1"/>
  <c r="F3" i="13"/>
  <c r="F3" i="15" s="1"/>
  <c r="F4" i="13"/>
  <c r="F4" i="15" s="1"/>
  <c r="BB1" i="15"/>
  <c r="Z5" i="12"/>
  <c r="E7" i="4"/>
  <c r="J21" i="13"/>
  <c r="Z7" i="12"/>
  <c r="U12" i="15"/>
  <c r="J72" i="13"/>
  <c r="AB77" i="15" s="1"/>
  <c r="D5" i="5"/>
  <c r="G11" i="18"/>
  <c r="J35" i="13"/>
  <c r="F62" i="13"/>
  <c r="F42" i="15" s="1"/>
  <c r="F11" i="13"/>
  <c r="F35" i="15" s="1"/>
  <c r="F65" i="13"/>
  <c r="F51" i="15" s="1"/>
  <c r="M16" i="13"/>
  <c r="F64" i="13"/>
  <c r="F50" i="15" s="1"/>
  <c r="F63" i="13"/>
  <c r="F46" i="15" s="1"/>
  <c r="F35" i="13"/>
  <c r="F43" i="15" s="1"/>
  <c r="F30" i="13"/>
  <c r="F23" i="15" s="1"/>
  <c r="J88" i="13"/>
  <c r="F18" i="13"/>
  <c r="F47" i="15" s="1"/>
  <c r="F17" i="13"/>
  <c r="F45" i="15" s="1"/>
  <c r="F59" i="13"/>
  <c r="F9" i="15" s="1"/>
  <c r="F26" i="13"/>
  <c r="F81" i="15" s="1"/>
  <c r="F33" i="13"/>
  <c r="F31" i="15" s="1"/>
  <c r="F28" i="13"/>
  <c r="F6" i="15" s="1"/>
  <c r="J36" i="13"/>
  <c r="J30" i="13"/>
  <c r="AB23" i="15" s="1"/>
  <c r="F23" i="13"/>
  <c r="F71" i="15" s="1"/>
  <c r="F7" i="13"/>
  <c r="F18" i="15" s="1"/>
  <c r="M47" i="13"/>
  <c r="AE22" i="15" s="1"/>
  <c r="F61" i="13"/>
  <c r="F14" i="15" s="1"/>
  <c r="F14" i="13"/>
  <c r="F40" i="15" s="1"/>
  <c r="F60" i="13"/>
  <c r="F10" i="15" s="1"/>
  <c r="F13" i="13"/>
  <c r="F37" i="15" s="1"/>
  <c r="F20" i="13"/>
  <c r="F57" i="15" s="1"/>
  <c r="F12" i="13"/>
  <c r="F36" i="15" s="1"/>
  <c r="F24" i="13"/>
  <c r="F70" i="15" s="1"/>
  <c r="B24" i="7"/>
  <c r="M55" i="13"/>
  <c r="M32" i="13"/>
  <c r="AE27" i="15" s="1"/>
  <c r="J79" i="13"/>
  <c r="AB33" i="15" s="1"/>
  <c r="F66" i="13"/>
  <c r="F53" i="15" s="1"/>
  <c r="F15" i="13"/>
  <c r="F41" i="15" s="1"/>
  <c r="F69" i="13"/>
  <c r="F65" i="15" s="1"/>
  <c r="F22" i="13"/>
  <c r="F72" i="15" s="1"/>
  <c r="F6" i="13"/>
  <c r="F16" i="15" s="1"/>
  <c r="F68" i="13"/>
  <c r="F61" i="15" s="1"/>
  <c r="F21" i="13"/>
  <c r="F74" i="15" s="1"/>
  <c r="F5" i="13"/>
  <c r="F12" i="15" s="1"/>
  <c r="F75" i="13"/>
  <c r="F84" i="15" s="1"/>
  <c r="F71" i="13"/>
  <c r="F76" i="15" s="1"/>
  <c r="F67" i="13"/>
  <c r="F55" i="15" s="1"/>
  <c r="Y4" i="18"/>
  <c r="F78" i="13"/>
  <c r="F20" i="15" s="1"/>
  <c r="B35" i="7"/>
  <c r="M81" i="13"/>
  <c r="B3" i="7"/>
  <c r="A3" i="7" s="1"/>
  <c r="M87" i="13"/>
  <c r="L27" i="13"/>
  <c r="AN5" i="15" s="1"/>
  <c r="E7" i="18"/>
  <c r="S6" i="18"/>
  <c r="E24" i="15"/>
  <c r="D16" i="5"/>
  <c r="G19" i="12"/>
  <c r="J48" i="13"/>
  <c r="J12" i="13"/>
  <c r="J75" i="13"/>
  <c r="G15" i="12"/>
  <c r="J28" i="13"/>
  <c r="AB6" i="15" s="1"/>
  <c r="G7" i="12"/>
  <c r="M65" i="13"/>
  <c r="G29" i="12"/>
  <c r="J83" i="13"/>
  <c r="G18" i="12"/>
  <c r="J49" i="13"/>
  <c r="AB25" i="15" s="1"/>
  <c r="G14" i="12"/>
  <c r="J3" i="13"/>
  <c r="AB3" i="15" s="1"/>
  <c r="J57" i="13"/>
  <c r="AB82" i="15" s="1"/>
  <c r="G11" i="12"/>
  <c r="T18" i="12"/>
  <c r="M83" i="13"/>
  <c r="AE64" i="15" s="1"/>
  <c r="T17" i="12"/>
  <c r="G32" i="12"/>
  <c r="J4" i="13"/>
  <c r="J29" i="13"/>
  <c r="J16" i="13"/>
  <c r="AB44" i="15" s="1"/>
  <c r="G21" i="12"/>
  <c r="D17" i="5"/>
  <c r="J81" i="13"/>
  <c r="AB58" i="15" s="1"/>
  <c r="G13" i="12"/>
  <c r="J65" i="13"/>
  <c r="AB51" i="15" s="1"/>
  <c r="J46" i="13"/>
  <c r="J31" i="13"/>
  <c r="J13" i="13"/>
  <c r="AB37" i="15" s="1"/>
  <c r="I7" i="13"/>
  <c r="T74" i="15" s="1"/>
  <c r="I77" i="13"/>
  <c r="I66" i="13"/>
  <c r="I18" i="13"/>
  <c r="I6" i="13"/>
  <c r="I76" i="13"/>
  <c r="I31" i="13"/>
  <c r="I46" i="13"/>
  <c r="I69" i="13"/>
  <c r="I41" i="13"/>
  <c r="I16" i="13"/>
  <c r="I68" i="13"/>
  <c r="T23" i="15" s="1"/>
  <c r="I13" i="13"/>
  <c r="T37" i="15" s="1"/>
  <c r="I49" i="13"/>
  <c r="I27" i="13"/>
  <c r="T5" i="15" s="1"/>
  <c r="J60" i="13"/>
  <c r="J14" i="13"/>
  <c r="AB40" i="15" s="1"/>
  <c r="J64" i="13"/>
  <c r="J62" i="13"/>
  <c r="AB42" i="15" s="1"/>
  <c r="E9" i="4"/>
  <c r="U17" i="4"/>
  <c r="Q16" i="4"/>
  <c r="Q12" i="4"/>
  <c r="Q8" i="4"/>
  <c r="Q4" i="4"/>
  <c r="D32" i="12"/>
  <c r="D28" i="12"/>
  <c r="D24" i="12"/>
  <c r="D20" i="12"/>
  <c r="D16" i="12"/>
  <c r="D12" i="12"/>
  <c r="G23" i="12"/>
  <c r="J14" i="12"/>
  <c r="J10" i="12"/>
  <c r="J6" i="12"/>
  <c r="L15" i="12"/>
  <c r="N14" i="12"/>
  <c r="N6" i="12"/>
  <c r="T25" i="12"/>
  <c r="I72" i="13"/>
  <c r="T79" i="15" s="1"/>
  <c r="I59" i="13"/>
  <c r="I15" i="13"/>
  <c r="T71" i="15" s="1"/>
  <c r="I19" i="13"/>
  <c r="T54" i="15" s="1"/>
  <c r="I84" i="13"/>
  <c r="I79" i="13"/>
  <c r="I75" i="13"/>
  <c r="I28" i="13"/>
  <c r="I47" i="13"/>
  <c r="T22" i="15" s="1"/>
  <c r="I5" i="13"/>
  <c r="I85" i="13"/>
  <c r="T78" i="15" s="1"/>
  <c r="I62" i="13"/>
  <c r="T42" i="15" s="1"/>
  <c r="I57" i="13"/>
  <c r="T82" i="15" s="1"/>
  <c r="E16" i="4"/>
  <c r="E12" i="4"/>
  <c r="E8" i="4"/>
  <c r="U12" i="4"/>
  <c r="U8" i="4"/>
  <c r="D31" i="12"/>
  <c r="D19" i="12"/>
  <c r="D15" i="12"/>
  <c r="D7" i="12"/>
  <c r="G20" i="12"/>
  <c r="J17" i="12"/>
  <c r="J9" i="12"/>
  <c r="L10" i="12"/>
  <c r="Q49" i="12"/>
  <c r="Q41" i="12"/>
  <c r="Q37" i="12"/>
  <c r="Q29" i="12"/>
  <c r="Q25" i="12"/>
  <c r="Q17" i="12"/>
  <c r="Q13" i="12"/>
  <c r="Q5" i="12"/>
  <c r="I88" i="13"/>
  <c r="T88" i="15" s="1"/>
  <c r="I34" i="13"/>
  <c r="I12" i="13"/>
  <c r="I67" i="13"/>
  <c r="T29" i="15" s="1"/>
  <c r="I54" i="13"/>
  <c r="I3" i="13"/>
  <c r="T3" i="15" s="1"/>
  <c r="I89" i="13"/>
  <c r="T89" i="15" s="1"/>
  <c r="I18" i="4"/>
  <c r="I14" i="4"/>
  <c r="I10" i="4"/>
  <c r="I6" i="4"/>
  <c r="U7" i="4"/>
  <c r="Q6" i="4"/>
  <c r="D34" i="12"/>
  <c r="D18" i="12"/>
  <c r="D14" i="12"/>
  <c r="D10" i="12"/>
  <c r="G9" i="12"/>
  <c r="J16" i="12"/>
  <c r="J12" i="12"/>
  <c r="J8" i="12"/>
  <c r="Q20" i="12"/>
  <c r="Q16" i="12"/>
  <c r="Q8" i="12"/>
  <c r="T31" i="12"/>
  <c r="I50" i="13"/>
  <c r="I53" i="13"/>
  <c r="I87" i="13"/>
  <c r="T72" i="15" s="1"/>
  <c r="I65" i="13"/>
  <c r="T51" i="15" s="1"/>
  <c r="I52" i="13"/>
  <c r="T57" i="15" s="1"/>
  <c r="I39" i="13"/>
  <c r="T61" i="15" s="1"/>
  <c r="I29" i="13"/>
  <c r="I81" i="13"/>
  <c r="T58" i="15" s="1"/>
  <c r="I35" i="13"/>
  <c r="I56" i="13"/>
  <c r="T62" i="15" s="1"/>
  <c r="I10" i="13"/>
  <c r="I26" i="13"/>
  <c r="I60" i="13"/>
  <c r="T10" i="15" s="1"/>
  <c r="I38" i="13"/>
  <c r="I64" i="13"/>
  <c r="B3" i="3"/>
  <c r="I9" i="13"/>
  <c r="T34" i="15"/>
  <c r="I63" i="13"/>
  <c r="T46" i="15" s="1"/>
  <c r="I44" i="13"/>
  <c r="I14" i="13"/>
  <c r="I32" i="13"/>
  <c r="I55" i="13"/>
  <c r="E14" i="4"/>
  <c r="E6" i="4"/>
  <c r="D33" i="12"/>
  <c r="D29" i="12"/>
  <c r="D25" i="12"/>
  <c r="D21" i="12"/>
  <c r="D17" i="12"/>
  <c r="D13" i="12"/>
  <c r="D9" i="12"/>
  <c r="J11" i="12"/>
  <c r="J7" i="12"/>
  <c r="N11" i="12"/>
  <c r="T26" i="12"/>
  <c r="T22" i="12"/>
  <c r="T10" i="12"/>
  <c r="D4" i="5"/>
  <c r="B12" i="7"/>
  <c r="M84" i="13"/>
  <c r="J86" i="13"/>
  <c r="AB80" i="15" s="1"/>
  <c r="M41" i="13"/>
  <c r="D24" i="5"/>
  <c r="J52" i="13"/>
  <c r="B42" i="7"/>
  <c r="M63" i="13"/>
  <c r="M54" i="13"/>
  <c r="B15" i="7"/>
  <c r="W30" i="12"/>
  <c r="G9" i="18"/>
  <c r="W18" i="12"/>
  <c r="F88" i="13"/>
  <c r="F88" i="15" s="1"/>
  <c r="F81" i="13"/>
  <c r="F58" i="15" s="1"/>
  <c r="F82" i="13"/>
  <c r="F60" i="15" s="1"/>
  <c r="J70" i="13"/>
  <c r="J32" i="13"/>
  <c r="AB11" i="15" s="1"/>
  <c r="J11" i="13"/>
  <c r="AB35" i="15" s="1"/>
  <c r="W15" i="12"/>
  <c r="J63" i="13"/>
  <c r="U5" i="18"/>
  <c r="M38" i="13"/>
  <c r="D21" i="5"/>
  <c r="B26" i="7"/>
  <c r="M60" i="13"/>
  <c r="W22" i="12"/>
  <c r="W14" i="12"/>
  <c r="W6" i="18"/>
  <c r="G6" i="18"/>
  <c r="F77" i="13"/>
  <c r="F15" i="15" s="1"/>
  <c r="F84" i="13"/>
  <c r="F68" i="15" s="1"/>
  <c r="J85" i="13"/>
  <c r="AB78" i="15" s="1"/>
  <c r="O7" i="18"/>
  <c r="W10" i="18"/>
  <c r="B30" i="7"/>
  <c r="B27" i="7"/>
  <c r="S10" i="18"/>
  <c r="W32" i="12"/>
  <c r="I10" i="18"/>
  <c r="Q8" i="18"/>
  <c r="Y8" i="18"/>
  <c r="W21" i="12"/>
  <c r="M57" i="13"/>
  <c r="J55" i="13"/>
  <c r="W10" i="12"/>
  <c r="O5" i="18"/>
  <c r="E43" i="15"/>
  <c r="M82" i="13"/>
  <c r="M62" i="13"/>
  <c r="F80" i="13"/>
  <c r="F49" i="15" s="1"/>
  <c r="F86" i="13"/>
  <c r="F80" i="15" s="1"/>
  <c r="J38" i="13"/>
  <c r="AB67" i="15" s="1"/>
  <c r="U6" i="18"/>
  <c r="M48" i="13"/>
  <c r="G10" i="18"/>
  <c r="D18" i="5"/>
  <c r="B16" i="7"/>
  <c r="M33" i="13"/>
  <c r="AE31" i="15" s="1"/>
  <c r="B5" i="7"/>
  <c r="M30" i="13"/>
  <c r="W35" i="12"/>
  <c r="D10" i="5"/>
  <c r="B31" i="7"/>
  <c r="B23" i="7"/>
  <c r="W11" i="18"/>
  <c r="O11" i="18"/>
  <c r="W7" i="12"/>
  <c r="E34" i="15"/>
  <c r="E21" i="15"/>
  <c r="E89" i="15"/>
  <c r="E8" i="15"/>
  <c r="D27" i="5"/>
  <c r="D15" i="5"/>
  <c r="M85" i="13"/>
  <c r="AE78" i="15" s="1"/>
  <c r="D22" i="5"/>
  <c r="J71" i="13"/>
  <c r="AB76" i="15" s="1"/>
  <c r="D3" i="5"/>
  <c r="J5" i="13"/>
  <c r="J45" i="13"/>
  <c r="AB17" i="15" s="1"/>
  <c r="G8" i="18"/>
  <c r="W9" i="18"/>
  <c r="E42" i="15"/>
  <c r="D14" i="5"/>
  <c r="B40" i="7"/>
  <c r="B11" i="7"/>
  <c r="T85" i="15"/>
  <c r="W14" i="17" l="1"/>
  <c r="T11" i="15"/>
  <c r="T25" i="15"/>
  <c r="AN16" i="15"/>
  <c r="Y67" i="15"/>
  <c r="Z67" i="15"/>
  <c r="R90" i="15"/>
  <c r="T6" i="15"/>
  <c r="Y6" i="15"/>
  <c r="U6" i="15"/>
  <c r="X6" i="15"/>
  <c r="Z6" i="15"/>
  <c r="T66" i="15"/>
  <c r="AB22" i="15"/>
  <c r="N57" i="13"/>
  <c r="AH82" i="15" s="1"/>
  <c r="S5" i="18"/>
  <c r="K7" i="18"/>
  <c r="Y6" i="18"/>
  <c r="C7" i="18"/>
  <c r="AN67" i="15"/>
  <c r="AN60" i="15"/>
  <c r="AN45" i="15"/>
  <c r="N48" i="13"/>
  <c r="M27" i="13"/>
  <c r="S8" i="18"/>
  <c r="Y11" i="18"/>
  <c r="T36" i="15"/>
  <c r="N77" i="13"/>
  <c r="AN42" i="15"/>
  <c r="Q9" i="18"/>
  <c r="AN76" i="15"/>
  <c r="AN43" i="15"/>
  <c r="AN78" i="15"/>
  <c r="AN19" i="15"/>
  <c r="T16" i="15"/>
  <c r="AB38" i="15"/>
  <c r="M7" i="18"/>
  <c r="E10" i="18"/>
  <c r="I4" i="18"/>
  <c r="U11" i="18"/>
  <c r="N75" i="13"/>
  <c r="AH84" i="15" s="1"/>
  <c r="AN31" i="15"/>
  <c r="AN17" i="15"/>
  <c r="AN49" i="15"/>
  <c r="N7" i="17"/>
  <c r="O10" i="18"/>
  <c r="W31" i="12"/>
  <c r="W27" i="12"/>
  <c r="O9" i="18"/>
  <c r="W23" i="12"/>
  <c r="O8" i="18"/>
  <c r="W8" i="18"/>
  <c r="W7" i="18"/>
  <c r="W19" i="12"/>
  <c r="G7" i="18"/>
  <c r="G5" i="18"/>
  <c r="W11" i="12"/>
  <c r="W5" i="18"/>
  <c r="O4" i="18"/>
  <c r="W4" i="18"/>
  <c r="G4" i="18"/>
  <c r="T70" i="15"/>
  <c r="T68" i="15"/>
  <c r="E11" i="18"/>
  <c r="W34" i="12"/>
  <c r="M11" i="18"/>
  <c r="M10" i="18"/>
  <c r="U10" i="18"/>
  <c r="U9" i="18"/>
  <c r="E9" i="18"/>
  <c r="W26" i="12"/>
  <c r="M9" i="18"/>
  <c r="M8" i="18"/>
  <c r="U8" i="18"/>
  <c r="E8" i="18"/>
  <c r="M6" i="18"/>
  <c r="E6" i="18"/>
  <c r="M5" i="18"/>
  <c r="E5" i="18"/>
  <c r="O6" i="18"/>
  <c r="S4" i="18"/>
  <c r="N21" i="13"/>
  <c r="C4" i="18"/>
  <c r="W5" i="12"/>
  <c r="L4" i="18" s="1"/>
  <c r="N25" i="13"/>
  <c r="N23" i="13"/>
  <c r="AH71" i="15" s="1"/>
  <c r="N22" i="13"/>
  <c r="AH72" i="15" s="1"/>
  <c r="N24" i="13"/>
  <c r="AH70" i="15" s="1"/>
  <c r="W33" i="12"/>
  <c r="S11" i="18"/>
  <c r="C11" i="18"/>
  <c r="N3" i="13"/>
  <c r="AH3" i="15" s="1"/>
  <c r="N17" i="13"/>
  <c r="AH45" i="15" s="1"/>
  <c r="N61" i="13"/>
  <c r="N11" i="13"/>
  <c r="K10" i="18"/>
  <c r="N30" i="13"/>
  <c r="AH23" i="15" s="1"/>
  <c r="N10" i="13"/>
  <c r="AH39" i="15" s="1"/>
  <c r="N9" i="13"/>
  <c r="S9" i="18"/>
  <c r="C9" i="18"/>
  <c r="K9" i="18"/>
  <c r="N40" i="13"/>
  <c r="AH75" i="15" s="1"/>
  <c r="W25" i="12"/>
  <c r="N31" i="13"/>
  <c r="N35" i="13"/>
  <c r="AH43" i="15" s="1"/>
  <c r="C8" i="18"/>
  <c r="N55" i="13"/>
  <c r="AH59" i="15" s="1"/>
  <c r="K8" i="18"/>
  <c r="N14" i="13"/>
  <c r="AH40" i="15" s="1"/>
  <c r="N32" i="13"/>
  <c r="N16" i="13"/>
  <c r="N87" i="13"/>
  <c r="N39" i="13"/>
  <c r="N65" i="13"/>
  <c r="AH51" i="15" s="1"/>
  <c r="W17" i="12"/>
  <c r="S7" i="18"/>
  <c r="N59" i="13"/>
  <c r="N26" i="13"/>
  <c r="AH81" i="15" s="1"/>
  <c r="N8" i="13"/>
  <c r="AH29" i="15" s="1"/>
  <c r="C6" i="18"/>
  <c r="N60" i="13"/>
  <c r="AH10" i="15" s="1"/>
  <c r="N66" i="13"/>
  <c r="N38" i="13"/>
  <c r="W13" i="12"/>
  <c r="K6" i="18"/>
  <c r="N68" i="13"/>
  <c r="AH61" i="15" s="1"/>
  <c r="N19" i="13"/>
  <c r="N76" i="13"/>
  <c r="N41" i="13"/>
  <c r="AH86" i="15" s="1"/>
  <c r="W9" i="12"/>
  <c r="N42" i="13"/>
  <c r="AH87" i="15" s="1"/>
  <c r="N85" i="13"/>
  <c r="AH78" i="15" s="1"/>
  <c r="C5" i="18"/>
  <c r="N28" i="13"/>
  <c r="AH6" i="15" s="1"/>
  <c r="N46" i="13"/>
  <c r="N51" i="13"/>
  <c r="AH30" i="15" s="1"/>
  <c r="N36" i="13"/>
  <c r="AH48" i="15" s="1"/>
  <c r="N79" i="13"/>
  <c r="AH33" i="15" s="1"/>
  <c r="N62" i="13"/>
  <c r="AH42" i="15" s="1"/>
  <c r="K5" i="18"/>
  <c r="Q11" i="18"/>
  <c r="I11" i="18"/>
  <c r="Y10" i="18"/>
  <c r="Q10" i="18"/>
  <c r="W24" i="12"/>
  <c r="I8" i="18"/>
  <c r="W20" i="12"/>
  <c r="Y7" i="18"/>
  <c r="I7" i="18"/>
  <c r="Q7" i="18"/>
  <c r="I6" i="18"/>
  <c r="W16" i="12"/>
  <c r="Q6" i="18"/>
  <c r="I5" i="18"/>
  <c r="Y5" i="18"/>
  <c r="Q5" i="18"/>
  <c r="W12" i="12"/>
  <c r="W8" i="12"/>
  <c r="Q4" i="18"/>
  <c r="N80" i="13"/>
  <c r="AH49" i="15" s="1"/>
  <c r="N78" i="13"/>
  <c r="AH20" i="15" s="1"/>
  <c r="N64" i="13"/>
  <c r="AH50" i="15" s="1"/>
  <c r="T56" i="15"/>
  <c r="N63" i="13"/>
  <c r="AH46" i="15" s="1"/>
  <c r="AN46" i="15"/>
  <c r="N74" i="13"/>
  <c r="AH83" i="15" s="1"/>
  <c r="N49" i="13"/>
  <c r="AH25" i="15" s="1"/>
  <c r="N89" i="13"/>
  <c r="N18" i="13"/>
  <c r="AH47" i="15" s="1"/>
  <c r="T23" i="12"/>
  <c r="AL4" i="13"/>
  <c r="T69" i="15"/>
  <c r="N8" i="17"/>
  <c r="T17" i="15"/>
  <c r="T13" i="15"/>
  <c r="N5" i="13"/>
  <c r="AH12" i="15" s="1"/>
  <c r="AN89" i="15"/>
  <c r="N34" i="13"/>
  <c r="AH32" i="15" s="1"/>
  <c r="N73" i="13"/>
  <c r="AH79" i="15" s="1"/>
  <c r="N69" i="13"/>
  <c r="AH65" i="15" s="1"/>
  <c r="N52" i="13"/>
  <c r="AN48" i="15"/>
  <c r="U7" i="18"/>
  <c r="T21" i="15"/>
  <c r="G20" i="13"/>
  <c r="E57" i="15" s="1"/>
  <c r="G33" i="13"/>
  <c r="G50" i="13"/>
  <c r="N15" i="13"/>
  <c r="N6" i="13"/>
  <c r="N4" i="13"/>
  <c r="AH4" i="15" s="1"/>
  <c r="N27" i="13"/>
  <c r="AH5" i="15" s="1"/>
  <c r="N67" i="13"/>
  <c r="N72" i="13"/>
  <c r="N44" i="13"/>
  <c r="AH11" i="15" s="1"/>
  <c r="N29" i="13"/>
  <c r="AH19" i="15" s="1"/>
  <c r="F43" i="13"/>
  <c r="F7" i="15" s="1"/>
  <c r="F57" i="13"/>
  <c r="F82" i="15" s="1"/>
  <c r="F48" i="13"/>
  <c r="F24" i="15" s="1"/>
  <c r="F55" i="13"/>
  <c r="F59" i="15" s="1"/>
  <c r="F50" i="13"/>
  <c r="F28" i="15" s="1"/>
  <c r="F37" i="13"/>
  <c r="F63" i="15" s="1"/>
  <c r="F29" i="13"/>
  <c r="F19" i="15" s="1"/>
  <c r="F56" i="13"/>
  <c r="F62" i="15" s="1"/>
  <c r="F44" i="13"/>
  <c r="F11" i="15" s="1"/>
  <c r="F36" i="13"/>
  <c r="F48" i="15" s="1"/>
  <c r="F34" i="13"/>
  <c r="F32" i="15" s="1"/>
  <c r="F54" i="13"/>
  <c r="F56" i="15" s="1"/>
  <c r="F51" i="13"/>
  <c r="F30" i="15" s="1"/>
  <c r="F53" i="13"/>
  <c r="F52" i="15" s="1"/>
  <c r="F45" i="13"/>
  <c r="F17" i="15" s="1"/>
  <c r="F31" i="13"/>
  <c r="F26" i="15" s="1"/>
  <c r="F27" i="13"/>
  <c r="F5" i="15" s="1"/>
  <c r="F46" i="13"/>
  <c r="F21" i="15" s="1"/>
  <c r="F47" i="13"/>
  <c r="F22" i="15" s="1"/>
  <c r="F52" i="13"/>
  <c r="F38" i="15" s="1"/>
  <c r="F40" i="13"/>
  <c r="F75" i="15" s="1"/>
  <c r="Z6" i="12"/>
  <c r="Y9" i="18"/>
  <c r="W29" i="12"/>
  <c r="W36" i="12"/>
  <c r="C10" i="18"/>
  <c r="K11" i="18"/>
  <c r="I9" i="18"/>
  <c r="AH8" i="15"/>
  <c r="AH13" i="15"/>
  <c r="AH35" i="15"/>
  <c r="N81" i="13"/>
  <c r="AH58" i="15" s="1"/>
  <c r="N20" i="13"/>
  <c r="AH57" i="15" s="1"/>
  <c r="N45" i="13"/>
  <c r="AH17" i="15" s="1"/>
  <c r="N54" i="13"/>
  <c r="AH56" i="15" s="1"/>
  <c r="W28" i="12"/>
  <c r="AH15" i="15"/>
  <c r="N43" i="13"/>
  <c r="AH7" i="15" s="1"/>
  <c r="N82" i="13"/>
  <c r="AH60" i="15" s="1"/>
  <c r="AH54" i="15"/>
  <c r="M18" i="13"/>
  <c r="AE26" i="15"/>
  <c r="M6" i="13"/>
  <c r="M10" i="13"/>
  <c r="AE39" i="15" s="1"/>
  <c r="B43" i="7"/>
  <c r="M11" i="13"/>
  <c r="AE35" i="15" s="1"/>
  <c r="B8" i="7"/>
  <c r="A8" i="7" s="1"/>
  <c r="M49" i="13"/>
  <c r="B39" i="7"/>
  <c r="AE51" i="15"/>
  <c r="M52" i="13"/>
  <c r="T37" i="12"/>
  <c r="M8" i="13"/>
  <c r="AE29" i="15" s="1"/>
  <c r="M50" i="13"/>
  <c r="AE28" i="15" s="1"/>
  <c r="M39" i="13"/>
  <c r="AE69" i="15" s="1"/>
  <c r="B22" i="7"/>
  <c r="M17" i="13"/>
  <c r="AE45" i="15" s="1"/>
  <c r="T45" i="12"/>
  <c r="T41" i="12"/>
  <c r="A7" i="7"/>
  <c r="B34" i="7"/>
  <c r="B28" i="7"/>
  <c r="T47" i="12"/>
  <c r="M36" i="13"/>
  <c r="AE48" i="15" s="1"/>
  <c r="M58" i="13"/>
  <c r="AE8" i="15" s="1"/>
  <c r="M53" i="13"/>
  <c r="AE52" i="15" s="1"/>
  <c r="T39" i="12"/>
  <c r="AE85" i="15"/>
  <c r="AE44" i="15"/>
  <c r="A6" i="7"/>
  <c r="M37" i="13"/>
  <c r="AE63" i="15" s="1"/>
  <c r="AE50" i="15"/>
  <c r="AE57" i="15"/>
  <c r="T42" i="12"/>
  <c r="AE43" i="15"/>
  <c r="T32" i="12"/>
  <c r="B25" i="7"/>
  <c r="T28" i="12"/>
  <c r="M34" i="13"/>
  <c r="M56" i="13"/>
  <c r="AE62" i="15" s="1"/>
  <c r="B9" i="7"/>
  <c r="M89" i="13"/>
  <c r="AE7" i="15" s="1"/>
  <c r="M45" i="13"/>
  <c r="AE17" i="15" s="1"/>
  <c r="T20" i="12"/>
  <c r="F33" i="7" s="1"/>
  <c r="M12" i="13"/>
  <c r="B10" i="7"/>
  <c r="M26" i="13"/>
  <c r="AE81" i="15" s="1"/>
  <c r="M22" i="13"/>
  <c r="AE72" i="15" s="1"/>
  <c r="T15" i="12"/>
  <c r="M72" i="13"/>
  <c r="AE77" i="15" s="1"/>
  <c r="T38" i="12"/>
  <c r="M77" i="13"/>
  <c r="AE15" i="15" s="1"/>
  <c r="AE19" i="15"/>
  <c r="A5" i="7"/>
  <c r="AE68" i="15"/>
  <c r="AE86" i="15"/>
  <c r="AE87" i="15"/>
  <c r="M70" i="13"/>
  <c r="AE66" i="15" s="1"/>
  <c r="M5" i="13"/>
  <c r="AE12" i="15" s="1"/>
  <c r="M9" i="13"/>
  <c r="AE34" i="15" s="1"/>
  <c r="B13" i="7"/>
  <c r="T8" i="12"/>
  <c r="F37" i="7" s="1"/>
  <c r="M88" i="13"/>
  <c r="M67" i="13"/>
  <c r="M25" i="13"/>
  <c r="AE73" i="15" s="1"/>
  <c r="B44" i="7"/>
  <c r="M21" i="13"/>
  <c r="AE74" i="15" s="1"/>
  <c r="M24" i="13"/>
  <c r="AE70" i="15" s="1"/>
  <c r="F6" i="7"/>
  <c r="AE75" i="15"/>
  <c r="AE33" i="15"/>
  <c r="M75" i="13"/>
  <c r="AE84" i="15" s="1"/>
  <c r="AE23" i="15"/>
  <c r="M44" i="13"/>
  <c r="AE11" i="15" s="1"/>
  <c r="M61" i="13"/>
  <c r="M66" i="13"/>
  <c r="AE53" i="15" s="1"/>
  <c r="M46" i="13"/>
  <c r="AE21" i="15" s="1"/>
  <c r="M7" i="13"/>
  <c r="AE18" i="15" s="1"/>
  <c r="B19" i="7"/>
  <c r="T40" i="12"/>
  <c r="B32" i="7"/>
  <c r="AE4" i="15"/>
  <c r="T36" i="12"/>
  <c r="AE59" i="15"/>
  <c r="AE79" i="15"/>
  <c r="AE54" i="15"/>
  <c r="AE71" i="15"/>
  <c r="Q14" i="12"/>
  <c r="I4" i="4"/>
  <c r="K67" i="13"/>
  <c r="W55" i="15" s="1"/>
  <c r="K83" i="13"/>
  <c r="W64" i="15" s="1"/>
  <c r="K86" i="13"/>
  <c r="G4" i="4"/>
  <c r="O8" i="4"/>
  <c r="Q26" i="12"/>
  <c r="K15" i="13"/>
  <c r="W71" i="15" s="1"/>
  <c r="K11" i="13"/>
  <c r="W35" i="15" s="1"/>
  <c r="K63" i="13"/>
  <c r="K80" i="13"/>
  <c r="O4" i="4"/>
  <c r="K10" i="4"/>
  <c r="Q7" i="4"/>
  <c r="G7" i="4"/>
  <c r="S4" i="4"/>
  <c r="K9" i="13"/>
  <c r="W34" i="15" s="1"/>
  <c r="K69" i="13"/>
  <c r="K3" i="13"/>
  <c r="W3" i="15" s="1"/>
  <c r="K12" i="13"/>
  <c r="M7" i="4"/>
  <c r="M4" i="4"/>
  <c r="K41" i="13"/>
  <c r="W86" i="15" s="1"/>
  <c r="K20" i="13"/>
  <c r="W57" i="15" s="1"/>
  <c r="Q10" i="12"/>
  <c r="K51" i="13"/>
  <c r="W30" i="15" s="1"/>
  <c r="Q11" i="4"/>
  <c r="Q34" i="12"/>
  <c r="K35" i="13"/>
  <c r="W43" i="15" s="1"/>
  <c r="S8" i="4"/>
  <c r="O17" i="4"/>
  <c r="Q18" i="12"/>
  <c r="O9" i="4"/>
  <c r="Q15" i="4"/>
  <c r="Q38" i="12"/>
  <c r="U9" i="4"/>
  <c r="K46" i="13"/>
  <c r="W21" i="15" s="1"/>
  <c r="K29" i="13"/>
  <c r="W19" i="15" s="1"/>
  <c r="K19" i="13"/>
  <c r="K16" i="13"/>
  <c r="K13" i="13"/>
  <c r="W37" i="15" s="1"/>
  <c r="G12" i="4"/>
  <c r="M16" i="4"/>
  <c r="G8" i="4"/>
  <c r="K71" i="13"/>
  <c r="W76" i="15" s="1"/>
  <c r="K37" i="13"/>
  <c r="K43" i="13"/>
  <c r="W7" i="15" s="1"/>
  <c r="S16" i="4"/>
  <c r="K62" i="13"/>
  <c r="W85" i="15" s="1"/>
  <c r="E4" i="4"/>
  <c r="K70" i="13"/>
  <c r="W66" i="15" s="1"/>
  <c r="K4" i="4"/>
  <c r="K27" i="13"/>
  <c r="W5" i="15" s="1"/>
  <c r="I16" i="4"/>
  <c r="K52" i="13"/>
  <c r="W38" i="15" s="1"/>
  <c r="G15" i="4"/>
  <c r="K18" i="13"/>
  <c r="W47" i="15" s="1"/>
  <c r="E18" i="4"/>
  <c r="Q14" i="4"/>
  <c r="U16" i="4"/>
  <c r="K4" i="13"/>
  <c r="W73" i="15" s="1"/>
  <c r="W46" i="15"/>
  <c r="W17" i="15"/>
  <c r="K58" i="13"/>
  <c r="W6" i="15" s="1"/>
  <c r="M11" i="4"/>
  <c r="Q27" i="12"/>
  <c r="Q18" i="4"/>
  <c r="K77" i="13"/>
  <c r="W15" i="15" s="1"/>
  <c r="K18" i="4"/>
  <c r="Q36" i="12"/>
  <c r="G14" i="4"/>
  <c r="U15" i="4"/>
  <c r="I15" i="4"/>
  <c r="Q40" i="12"/>
  <c r="E13" i="4"/>
  <c r="K31" i="13"/>
  <c r="W26" i="15" s="1"/>
  <c r="K39" i="13"/>
  <c r="W69" i="15" s="1"/>
  <c r="Q32" i="12"/>
  <c r="K78" i="13"/>
  <c r="W20" i="15" s="1"/>
  <c r="U11" i="4"/>
  <c r="O11" i="4"/>
  <c r="Q28" i="12"/>
  <c r="S10" i="4"/>
  <c r="G10" i="4"/>
  <c r="K73" i="13"/>
  <c r="W79" i="15" s="1"/>
  <c r="K57" i="13"/>
  <c r="W82" i="15" s="1"/>
  <c r="K75" i="13"/>
  <c r="W84" i="15" s="1"/>
  <c r="M9" i="4"/>
  <c r="G9" i="4"/>
  <c r="W11" i="15"/>
  <c r="W81" i="15"/>
  <c r="I7" i="4"/>
  <c r="I12" i="4"/>
  <c r="G11" i="4"/>
  <c r="K5" i="13"/>
  <c r="W12" i="15" s="1"/>
  <c r="K47" i="13"/>
  <c r="W58" i="15" s="1"/>
  <c r="K64" i="13"/>
  <c r="E5" i="4"/>
  <c r="K54" i="13"/>
  <c r="W33" i="15" s="1"/>
  <c r="K55" i="13"/>
  <c r="W59" i="15" s="1"/>
  <c r="E10" i="4"/>
  <c r="K68" i="13"/>
  <c r="W61" i="15" s="1"/>
  <c r="Q10" i="4"/>
  <c r="K42" i="13"/>
  <c r="W87" i="15" s="1"/>
  <c r="G6" i="4"/>
  <c r="M6" i="4"/>
  <c r="K8" i="13"/>
  <c r="W29" i="15" s="1"/>
  <c r="G18" i="4"/>
  <c r="Q48" i="12"/>
  <c r="K17" i="4"/>
  <c r="W41" i="15"/>
  <c r="W89" i="15"/>
  <c r="M18" i="4"/>
  <c r="Q44" i="12"/>
  <c r="W48" i="15"/>
  <c r="W36" i="15"/>
  <c r="W53" i="15"/>
  <c r="K61" i="13"/>
  <c r="W32" i="15" s="1"/>
  <c r="K7" i="13"/>
  <c r="E17" i="4"/>
  <c r="W51" i="15"/>
  <c r="W10" i="15"/>
  <c r="W68" i="15"/>
  <c r="K5" i="17"/>
  <c r="K6" i="17"/>
  <c r="Q5" i="17"/>
  <c r="Q6" i="17"/>
  <c r="N7" i="12"/>
  <c r="Q11" i="17"/>
  <c r="N15" i="12"/>
  <c r="N12" i="12"/>
  <c r="W11" i="17"/>
  <c r="N16" i="12"/>
  <c r="W15" i="17"/>
  <c r="K15" i="17"/>
  <c r="N8" i="12"/>
  <c r="N5" i="12"/>
  <c r="N17" i="12"/>
  <c r="N9" i="12"/>
  <c r="K12" i="17"/>
  <c r="Q12" i="17"/>
  <c r="W16" i="17"/>
  <c r="Q7" i="17"/>
  <c r="W7" i="17"/>
  <c r="Q9" i="17"/>
  <c r="U9" i="17"/>
  <c r="L9" i="12"/>
  <c r="I9" i="17"/>
  <c r="L7" i="12"/>
  <c r="U14" i="17"/>
  <c r="I10" i="17"/>
  <c r="L11" i="12"/>
  <c r="O10" i="17"/>
  <c r="U7" i="17"/>
  <c r="O7" i="17"/>
  <c r="L5" i="12"/>
  <c r="L12" i="12"/>
  <c r="L8" i="12"/>
  <c r="I5" i="17"/>
  <c r="I12" i="17"/>
  <c r="L13" i="12"/>
  <c r="I15" i="17"/>
  <c r="O15" i="17"/>
  <c r="L16" i="12"/>
  <c r="I11" i="17"/>
  <c r="O11" i="17"/>
  <c r="U5" i="17"/>
  <c r="U16" i="17"/>
  <c r="I16" i="17"/>
  <c r="O12" i="17"/>
  <c r="L17" i="12"/>
  <c r="L14" i="12"/>
  <c r="U13" i="17"/>
  <c r="I13" i="17"/>
  <c r="G14" i="17"/>
  <c r="AN11" i="15"/>
  <c r="L37" i="13"/>
  <c r="AN57" i="15"/>
  <c r="AN71" i="15"/>
  <c r="AN66" i="15"/>
  <c r="AN33" i="15"/>
  <c r="L31" i="13"/>
  <c r="AN26" i="15" s="1"/>
  <c r="AN29" i="15"/>
  <c r="L46" i="13"/>
  <c r="AN36" i="15"/>
  <c r="L72" i="13"/>
  <c r="AN35" i="15"/>
  <c r="AN58" i="15"/>
  <c r="J15" i="12"/>
  <c r="N15" i="17" s="1"/>
  <c r="AN74" i="15"/>
  <c r="AN27" i="15"/>
  <c r="L48" i="13"/>
  <c r="AN24" i="15" s="1"/>
  <c r="L76" i="13"/>
  <c r="AN69" i="15" s="1"/>
  <c r="AN40" i="15"/>
  <c r="L18" i="13"/>
  <c r="AN47" i="15" s="1"/>
  <c r="M16" i="17"/>
  <c r="S16" i="17"/>
  <c r="M14" i="17"/>
  <c r="S14" i="17"/>
  <c r="AN4" i="15"/>
  <c r="AB74" i="15"/>
  <c r="AB66" i="15"/>
  <c r="J6" i="13"/>
  <c r="AB16" i="15" s="1"/>
  <c r="D29" i="5"/>
  <c r="AB69" i="15"/>
  <c r="AB61" i="15"/>
  <c r="D25" i="5"/>
  <c r="J66" i="13"/>
  <c r="AB53" i="15" s="1"/>
  <c r="G31" i="12"/>
  <c r="J8" i="13"/>
  <c r="AB29" i="15" s="1"/>
  <c r="G28" i="12"/>
  <c r="AB18" i="15"/>
  <c r="J18" i="13"/>
  <c r="AB47" i="15" s="1"/>
  <c r="J15" i="13"/>
  <c r="AB41" i="15" s="1"/>
  <c r="D32" i="5"/>
  <c r="AB8" i="15"/>
  <c r="D23" i="5"/>
  <c r="J80" i="13"/>
  <c r="AB49" i="15" s="1"/>
  <c r="AB45" i="15"/>
  <c r="G24" i="12"/>
  <c r="J41" i="13"/>
  <c r="AB86" i="15" s="1"/>
  <c r="J56" i="13"/>
  <c r="AB62" i="15" s="1"/>
  <c r="G16" i="12"/>
  <c r="D9" i="5"/>
  <c r="G8" i="12"/>
  <c r="J78" i="13"/>
  <c r="AB20" i="15" s="1"/>
  <c r="D13" i="5"/>
  <c r="AB46" i="15"/>
  <c r="J22" i="13"/>
  <c r="AB34" i="15" s="1"/>
  <c r="AB70" i="15"/>
  <c r="J26" i="13"/>
  <c r="AB24" i="15" s="1"/>
  <c r="J40" i="13"/>
  <c r="AB75" i="15" s="1"/>
  <c r="AB56" i="15"/>
  <c r="J20" i="13"/>
  <c r="AB57" i="15" s="1"/>
  <c r="G3" i="5"/>
  <c r="J89" i="13"/>
  <c r="AB84" i="15"/>
  <c r="AB83" i="15"/>
  <c r="G33" i="12"/>
  <c r="G30" i="12"/>
  <c r="AB63" i="15"/>
  <c r="AB10" i="15"/>
  <c r="G26" i="12"/>
  <c r="J77" i="13"/>
  <c r="AB15" i="15" s="1"/>
  <c r="J69" i="13"/>
  <c r="AB48" i="15" s="1"/>
  <c r="AB55" i="15"/>
  <c r="D19" i="5"/>
  <c r="AB88" i="15"/>
  <c r="AB26" i="15"/>
  <c r="J87" i="13"/>
  <c r="AB27" i="15"/>
  <c r="D20" i="5"/>
  <c r="J34" i="13"/>
  <c r="J19" i="13"/>
  <c r="AB54" i="15" s="1"/>
  <c r="J42" i="13"/>
  <c r="AB87" i="15" s="1"/>
  <c r="G22" i="12"/>
  <c r="J53" i="13"/>
  <c r="AB52" i="15" s="1"/>
  <c r="J59" i="13"/>
  <c r="AB9" i="15" s="1"/>
  <c r="J73" i="13"/>
  <c r="D31" i="5"/>
  <c r="J23" i="13"/>
  <c r="AB71" i="15" s="1"/>
  <c r="AB13" i="15"/>
  <c r="G17" i="12"/>
  <c r="J50" i="13"/>
  <c r="AB28" i="15" s="1"/>
  <c r="T32" i="15"/>
  <c r="T14" i="15"/>
  <c r="T28" i="15"/>
  <c r="T76" i="15"/>
  <c r="T9" i="15"/>
  <c r="D26" i="12"/>
  <c r="I4" i="13"/>
  <c r="F4" i="3"/>
  <c r="D23" i="12"/>
  <c r="I86" i="13"/>
  <c r="T80" i="15" s="1"/>
  <c r="I74" i="13"/>
  <c r="T83" i="15" s="1"/>
  <c r="I17" i="13"/>
  <c r="T20" i="15" s="1"/>
  <c r="T27" i="15"/>
  <c r="F3" i="3"/>
  <c r="T35" i="15"/>
  <c r="T43" i="15"/>
  <c r="T19" i="15"/>
  <c r="T38" i="15"/>
  <c r="D30" i="12"/>
  <c r="T55" i="15"/>
  <c r="I43" i="13"/>
  <c r="T7" i="15" s="1"/>
  <c r="I80" i="13"/>
  <c r="T47" i="15" s="1"/>
  <c r="D11" i="12"/>
  <c r="F14" i="3" s="1"/>
  <c r="D27" i="12"/>
  <c r="T8" i="15"/>
  <c r="I42" i="13"/>
  <c r="T87" i="15" s="1"/>
  <c r="B33" i="3"/>
  <c r="D22" i="12"/>
  <c r="I51" i="13"/>
  <c r="T59" i="15" s="1"/>
  <c r="T44" i="15"/>
  <c r="I36" i="13"/>
  <c r="T48" i="15" s="1"/>
  <c r="T77" i="15"/>
  <c r="I37" i="13"/>
  <c r="T63" i="15" s="1"/>
  <c r="T33" i="15"/>
  <c r="T15" i="15"/>
  <c r="A5" i="12"/>
  <c r="T24" i="15"/>
  <c r="T81" i="15"/>
  <c r="T84" i="15"/>
  <c r="AE13" i="15"/>
  <c r="AH53" i="15"/>
  <c r="AN55" i="15"/>
  <c r="AN88" i="15"/>
  <c r="W83" i="15"/>
  <c r="W27" i="15"/>
  <c r="W75" i="15"/>
  <c r="AN7" i="15"/>
  <c r="N47" i="13"/>
  <c r="AH22" i="15" s="1"/>
  <c r="E22" i="15"/>
  <c r="E36" i="15"/>
  <c r="N12" i="13"/>
  <c r="AH16" i="15" s="1"/>
  <c r="E68" i="15"/>
  <c r="N84" i="13"/>
  <c r="AH68" i="15" s="1"/>
  <c r="F35" i="7"/>
  <c r="F5" i="7"/>
  <c r="F6" i="3"/>
  <c r="F7" i="3"/>
  <c r="AB12" i="15"/>
  <c r="AE40" i="15"/>
  <c r="AE42" i="15"/>
  <c r="AB59" i="15"/>
  <c r="AE9" i="15"/>
  <c r="AE10" i="15"/>
  <c r="AE56" i="15"/>
  <c r="T86" i="15"/>
  <c r="T67" i="15"/>
  <c r="T39" i="15"/>
  <c r="T52" i="15"/>
  <c r="AN52" i="15"/>
  <c r="AN82" i="15"/>
  <c r="AN6" i="15"/>
  <c r="AN8" i="15"/>
  <c r="E18" i="15"/>
  <c r="N7" i="13"/>
  <c r="T40" i="15"/>
  <c r="AB36" i="15"/>
  <c r="AB50" i="15"/>
  <c r="AB68" i="15"/>
  <c r="AB60" i="15"/>
  <c r="AB19" i="15"/>
  <c r="AH73" i="15"/>
  <c r="W45" i="15"/>
  <c r="W78" i="15"/>
  <c r="AE25" i="15"/>
  <c r="F7" i="7"/>
  <c r="A4" i="7"/>
  <c r="F12" i="3"/>
  <c r="AE67" i="15"/>
  <c r="AE24" i="15"/>
  <c r="AE60" i="15"/>
  <c r="AE38" i="15"/>
  <c r="AE82" i="15"/>
  <c r="AE46" i="15"/>
  <c r="T50" i="15"/>
  <c r="AB5" i="15"/>
  <c r="AE65" i="15"/>
  <c r="AE5" i="15"/>
  <c r="AN83" i="15"/>
  <c r="AH36" i="15"/>
  <c r="T41" i="15"/>
  <c r="T53" i="15"/>
  <c r="T18" i="15"/>
  <c r="T60" i="15"/>
  <c r="T64" i="15"/>
  <c r="T12" i="15"/>
  <c r="T26" i="15"/>
  <c r="E50" i="15"/>
  <c r="AB21" i="15"/>
  <c r="AE58" i="15"/>
  <c r="AE83" i="15"/>
  <c r="AH85" i="15"/>
  <c r="AH67" i="15"/>
  <c r="N13" i="13"/>
  <c r="AH37" i="15" s="1"/>
  <c r="AH24" i="15"/>
  <c r="AH9" i="15"/>
  <c r="N86" i="13"/>
  <c r="AH80" i="15" s="1"/>
  <c r="AH27" i="15"/>
  <c r="AH14" i="15"/>
  <c r="AN30" i="15"/>
  <c r="AN34" i="15"/>
  <c r="W50" i="15"/>
  <c r="AN50" i="15"/>
  <c r="W25" i="15"/>
  <c r="W44" i="15"/>
  <c r="W54" i="15"/>
  <c r="W16" i="15"/>
  <c r="AN72" i="15"/>
  <c r="W49" i="15"/>
  <c r="AN38" i="15"/>
  <c r="AN10" i="15"/>
  <c r="AN23" i="15"/>
  <c r="AN79" i="15"/>
  <c r="AN65" i="15"/>
  <c r="AH26" i="15"/>
  <c r="AN84" i="15"/>
  <c r="W60" i="15"/>
  <c r="AN15" i="15"/>
  <c r="W80" i="15"/>
  <c r="AN32" i="15"/>
  <c r="Q19" i="12"/>
  <c r="T65" i="15"/>
  <c r="AB4" i="15"/>
  <c r="AE41" i="15"/>
  <c r="AH41" i="15"/>
  <c r="AH44" i="15"/>
  <c r="AH34" i="15"/>
  <c r="AE6" i="15"/>
  <c r="AN37" i="15"/>
  <c r="AE61" i="15"/>
  <c r="AN41" i="15"/>
  <c r="AN22" i="15"/>
  <c r="W63" i="15"/>
  <c r="W65" i="15"/>
  <c r="W13" i="15"/>
  <c r="W52" i="15"/>
  <c r="AN81" i="15"/>
  <c r="AN21" i="15"/>
  <c r="AN85" i="15"/>
  <c r="AN44" i="15"/>
  <c r="J25" i="13"/>
  <c r="AB73" i="15" s="1"/>
  <c r="F5" i="3"/>
  <c r="Q13" i="4"/>
  <c r="Q31" i="12"/>
  <c r="F22" i="3"/>
  <c r="F8" i="3"/>
  <c r="Q17" i="4"/>
  <c r="X12" i="15"/>
  <c r="Z12" i="15"/>
  <c r="AF90" i="15"/>
  <c r="AI90" i="15"/>
  <c r="AU36" i="15"/>
  <c r="AV71" i="15"/>
  <c r="AV35" i="15"/>
  <c r="AW54" i="15"/>
  <c r="BC25" i="15"/>
  <c r="AJ90" i="15"/>
  <c r="AK90" i="15"/>
  <c r="AL90" i="15"/>
  <c r="AO90" i="15"/>
  <c r="AP90" i="15"/>
  <c r="AU15" i="15"/>
  <c r="AV34" i="15"/>
  <c r="AY90" i="15"/>
  <c r="BC58" i="15"/>
  <c r="BC34" i="15"/>
  <c r="BC3" i="15"/>
  <c r="BH3" i="15"/>
  <c r="AW26" i="15"/>
  <c r="AQ90" i="15"/>
  <c r="BC14" i="15"/>
  <c r="BC28" i="15"/>
  <c r="BC4" i="15"/>
  <c r="BC75" i="15"/>
  <c r="U90" i="15"/>
  <c r="AV3" i="15"/>
  <c r="AW86" i="15"/>
  <c r="AV82" i="15"/>
  <c r="AV22" i="15"/>
  <c r="AW65" i="15"/>
  <c r="AW21" i="15"/>
  <c r="AW5" i="15"/>
  <c r="E20" i="15"/>
  <c r="R5" i="17"/>
  <c r="N16" i="17"/>
  <c r="N9" i="17"/>
  <c r="R8" i="17"/>
  <c r="T35" i="12"/>
  <c r="B14" i="7"/>
  <c r="N6" i="17"/>
  <c r="N12" i="17"/>
  <c r="N13" i="17"/>
  <c r="N37" i="13"/>
  <c r="L6" i="12"/>
  <c r="I4" i="17"/>
  <c r="I5" i="4"/>
  <c r="AU76" i="15"/>
  <c r="AU72" i="15"/>
  <c r="AU32" i="15"/>
  <c r="AU20" i="15"/>
  <c r="AU16" i="15"/>
  <c r="AV55" i="15"/>
  <c r="AV51" i="15"/>
  <c r="AV19" i="15"/>
  <c r="AV15" i="15"/>
  <c r="AW78" i="15"/>
  <c r="AW66" i="15"/>
  <c r="AW50" i="15"/>
  <c r="AW42" i="15"/>
  <c r="AW38" i="15"/>
  <c r="AW18" i="15"/>
  <c r="AW10" i="15"/>
  <c r="AW6" i="15"/>
  <c r="P4" i="17"/>
  <c r="N5" i="17"/>
  <c r="N4" i="17"/>
  <c r="Q11" i="12"/>
  <c r="N10" i="17"/>
  <c r="N11" i="17"/>
  <c r="AV73" i="15"/>
  <c r="BC82" i="15"/>
  <c r="BC78" i="15"/>
  <c r="BC62" i="15"/>
  <c r="BC50" i="15"/>
  <c r="BC46" i="15"/>
  <c r="BC42" i="15"/>
  <c r="BC30" i="15"/>
  <c r="BC26" i="15"/>
  <c r="BC18" i="15"/>
  <c r="BC10" i="15"/>
  <c r="BC89" i="15"/>
  <c r="BC65" i="15"/>
  <c r="BC45" i="15"/>
  <c r="Q4" i="17"/>
  <c r="K4" i="17"/>
  <c r="I17" i="4"/>
  <c r="I13" i="4"/>
  <c r="BH84" i="15"/>
  <c r="BH80" i="15"/>
  <c r="BH76" i="15"/>
  <c r="BH72" i="15"/>
  <c r="BH68" i="15"/>
  <c r="BH64" i="15"/>
  <c r="BH60" i="15"/>
  <c r="BH56" i="15"/>
  <c r="BH52" i="15"/>
  <c r="BH48" i="15"/>
  <c r="BH86" i="15"/>
  <c r="BH82" i="15"/>
  <c r="BH74" i="15"/>
  <c r="BH70" i="15"/>
  <c r="BH66" i="15"/>
  <c r="BH58" i="15"/>
  <c r="BH54" i="15"/>
  <c r="BH50" i="15"/>
  <c r="BH46" i="15"/>
  <c r="BH38" i="15"/>
  <c r="BH34" i="15"/>
  <c r="BH26" i="15"/>
  <c r="BH22" i="15"/>
  <c r="BH18" i="15"/>
  <c r="BH14" i="15"/>
  <c r="BH6" i="15"/>
  <c r="AU62" i="15"/>
  <c r="AU6" i="15"/>
  <c r="AV49" i="15"/>
  <c r="AV17" i="15"/>
  <c r="AW68" i="15"/>
  <c r="BC81" i="15"/>
  <c r="BC77" i="15"/>
  <c r="BC73" i="15"/>
  <c r="BC61" i="15"/>
  <c r="BC57" i="15"/>
  <c r="BC49" i="15"/>
  <c r="BC41" i="15"/>
  <c r="BC33" i="15"/>
  <c r="BC29" i="15"/>
  <c r="BC17" i="15"/>
  <c r="BC13" i="15"/>
  <c r="BC9" i="15"/>
  <c r="BC5" i="15"/>
  <c r="BC76" i="15"/>
  <c r="BC60" i="15"/>
  <c r="BC44" i="15"/>
  <c r="BC12" i="15"/>
  <c r="BB90" i="15"/>
  <c r="BC79" i="15"/>
  <c r="BC59" i="15"/>
  <c r="BC55" i="15"/>
  <c r="BC31" i="15"/>
  <c r="BC27" i="15"/>
  <c r="BC11" i="15"/>
  <c r="AU63" i="15"/>
  <c r="AU27" i="15"/>
  <c r="AU11" i="15"/>
  <c r="AV50" i="15"/>
  <c r="AV46" i="15"/>
  <c r="AV18" i="15"/>
  <c r="AV6" i="15"/>
  <c r="AW73" i="15"/>
  <c r="AW37" i="15"/>
  <c r="BC88" i="15"/>
  <c r="BC84" i="15"/>
  <c r="BC80" i="15"/>
  <c r="BC72" i="15"/>
  <c r="BC68" i="15"/>
  <c r="BC64" i="15"/>
  <c r="BC56" i="15"/>
  <c r="BC52" i="15"/>
  <c r="BC48" i="15"/>
  <c r="BC40" i="15"/>
  <c r="BC36" i="15"/>
  <c r="BC32" i="15"/>
  <c r="BC24" i="15"/>
  <c r="BC20" i="15"/>
  <c r="BC16" i="15"/>
  <c r="BC8" i="15"/>
  <c r="BA90" i="15"/>
  <c r="BH85" i="15"/>
  <c r="BH81" i="15"/>
  <c r="BH77" i="15"/>
  <c r="BH69" i="15"/>
  <c r="BH65" i="15"/>
  <c r="BH61" i="15"/>
  <c r="BH57" i="15"/>
  <c r="BH49" i="15"/>
  <c r="BH45" i="15"/>
  <c r="BH41" i="15"/>
  <c r="BH33" i="15"/>
  <c r="BH29" i="15"/>
  <c r="BH25" i="15"/>
  <c r="BH17" i="15"/>
  <c r="BH13" i="15"/>
  <c r="BH9" i="15"/>
  <c r="BH44" i="15"/>
  <c r="BH40" i="15"/>
  <c r="BH36" i="15"/>
  <c r="BH32" i="15"/>
  <c r="BH28" i="15"/>
  <c r="BH24" i="15"/>
  <c r="BH20" i="15"/>
  <c r="BH16" i="15"/>
  <c r="BH12" i="15"/>
  <c r="BH8" i="15"/>
  <c r="AU89" i="15"/>
  <c r="AU85" i="15"/>
  <c r="AU81" i="15"/>
  <c r="AU77" i="15"/>
  <c r="AU73" i="15"/>
  <c r="AU69" i="15"/>
  <c r="AU65" i="15"/>
  <c r="AU61" i="15"/>
  <c r="AU57" i="15"/>
  <c r="AU53" i="15"/>
  <c r="AU49" i="15"/>
  <c r="AU45" i="15"/>
  <c r="AU41" i="15"/>
  <c r="AU37" i="15"/>
  <c r="AU33" i="15"/>
  <c r="AU29" i="15"/>
  <c r="AU25" i="15"/>
  <c r="AU21" i="15"/>
  <c r="AU17" i="15"/>
  <c r="AU13" i="15"/>
  <c r="AU9" i="15"/>
  <c r="AV88" i="15"/>
  <c r="AV84" i="15"/>
  <c r="AV80" i="15"/>
  <c r="AV76" i="15"/>
  <c r="AV72" i="15"/>
  <c r="AV68" i="15"/>
  <c r="AV64" i="15"/>
  <c r="AV60" i="15"/>
  <c r="AV56" i="15"/>
  <c r="AV52" i="15"/>
  <c r="AV48" i="15"/>
  <c r="AV44" i="15"/>
  <c r="AV40" i="15"/>
  <c r="AV36" i="15"/>
  <c r="AV32" i="15"/>
  <c r="AV28" i="15"/>
  <c r="AV24" i="15"/>
  <c r="AV20" i="15"/>
  <c r="AV16" i="15"/>
  <c r="AV12" i="15"/>
  <c r="AV8" i="15"/>
  <c r="AV4" i="15"/>
  <c r="AW87" i="15"/>
  <c r="AW83" i="15"/>
  <c r="AW79" i="15"/>
  <c r="AW75" i="15"/>
  <c r="AW71" i="15"/>
  <c r="AW67" i="15"/>
  <c r="AW63" i="15"/>
  <c r="AW59" i="15"/>
  <c r="AU88" i="15"/>
  <c r="AU84" i="15"/>
  <c r="AU80" i="15"/>
  <c r="AU68" i="15"/>
  <c r="AU64" i="15"/>
  <c r="AU60" i="15"/>
  <c r="AU56" i="15"/>
  <c r="AU52" i="15"/>
  <c r="AU48" i="15"/>
  <c r="AU44" i="15"/>
  <c r="AU40" i="15"/>
  <c r="AU28" i="15"/>
  <c r="AU24" i="15"/>
  <c r="AU12" i="15"/>
  <c r="AU8" i="15"/>
  <c r="AU4" i="15"/>
  <c r="AV87" i="15"/>
  <c r="AV83" i="15"/>
  <c r="AV79" i="15"/>
  <c r="BH87" i="15"/>
  <c r="BH79" i="15"/>
  <c r="BH75" i="15"/>
  <c r="BH67" i="15"/>
  <c r="BH63" i="15"/>
  <c r="BH59" i="15"/>
  <c r="BH51" i="15"/>
  <c r="BH47" i="15"/>
  <c r="BH43" i="15"/>
  <c r="BH35" i="15"/>
  <c r="BH31" i="15"/>
  <c r="BH27" i="15"/>
  <c r="BH19" i="15"/>
  <c r="BH15" i="15"/>
  <c r="BH11" i="15"/>
  <c r="AW55" i="15"/>
  <c r="AW51" i="15"/>
  <c r="AW47" i="15"/>
  <c r="AW43" i="15"/>
  <c r="AW39" i="15"/>
  <c r="AW35" i="15"/>
  <c r="AW31" i="15"/>
  <c r="AW27" i="15"/>
  <c r="AW23" i="15"/>
  <c r="AW19" i="15"/>
  <c r="AW15" i="15"/>
  <c r="AW11" i="15"/>
  <c r="AW7" i="15"/>
  <c r="AU86" i="15"/>
  <c r="AU82" i="15"/>
  <c r="AU78" i="15"/>
  <c r="AU74" i="15"/>
  <c r="AU70" i="15"/>
  <c r="AU66" i="15"/>
  <c r="AU58" i="15"/>
  <c r="AU54" i="15"/>
  <c r="AU50" i="15"/>
  <c r="AU46" i="15"/>
  <c r="AU42" i="15"/>
  <c r="AU38" i="15"/>
  <c r="AU34" i="15"/>
  <c r="AU30" i="15"/>
  <c r="AU26" i="15"/>
  <c r="AU22" i="15"/>
  <c r="AU18" i="15"/>
  <c r="AU14" i="15"/>
  <c r="AU10" i="15"/>
  <c r="AV89" i="15"/>
  <c r="AV85" i="15"/>
  <c r="AV81" i="15"/>
  <c r="AV77" i="15"/>
  <c r="AV69" i="15"/>
  <c r="AV65" i="15"/>
  <c r="AV61" i="15"/>
  <c r="AV57" i="15"/>
  <c r="AV53" i="15"/>
  <c r="AV45" i="15"/>
  <c r="AV41" i="15"/>
  <c r="AV37" i="15"/>
  <c r="AV33" i="15"/>
  <c r="AV29" i="15"/>
  <c r="AV25" i="15"/>
  <c r="AV21" i="15"/>
  <c r="AV13" i="15"/>
  <c r="AV9" i="15"/>
  <c r="AW88" i="15"/>
  <c r="AW84" i="15"/>
  <c r="AW80" i="15"/>
  <c r="AW76" i="15"/>
  <c r="AW72" i="15"/>
  <c r="AW64" i="15"/>
  <c r="AW60" i="15"/>
  <c r="AW56" i="15"/>
  <c r="AW52" i="15"/>
  <c r="AW48" i="15"/>
  <c r="AW44" i="15"/>
  <c r="AW40" i="15"/>
  <c r="AW36" i="15"/>
  <c r="AW32" i="15"/>
  <c r="AW28" i="15"/>
  <c r="AW24" i="15"/>
  <c r="AW20" i="15"/>
  <c r="AW16" i="15"/>
  <c r="AW12" i="15"/>
  <c r="AW8" i="15"/>
  <c r="AW4" i="15"/>
  <c r="AU87" i="15"/>
  <c r="AU83" i="15"/>
  <c r="AU79" i="15"/>
  <c r="AU75" i="15"/>
  <c r="AU71" i="15"/>
  <c r="AU67" i="15"/>
  <c r="AU59" i="15"/>
  <c r="AU55" i="15"/>
  <c r="AV75" i="15"/>
  <c r="AV67" i="15"/>
  <c r="AV63" i="15"/>
  <c r="AV59" i="15"/>
  <c r="AV47" i="15"/>
  <c r="AV43" i="15"/>
  <c r="AV39" i="15"/>
  <c r="AV31" i="15"/>
  <c r="AV27" i="15"/>
  <c r="AV23" i="15"/>
  <c r="AV11" i="15"/>
  <c r="AV7" i="15"/>
  <c r="AW82" i="15"/>
  <c r="AW74" i="15"/>
  <c r="AW70" i="15"/>
  <c r="AW62" i="15"/>
  <c r="AW58" i="15"/>
  <c r="AW46" i="15"/>
  <c r="AW34" i="15"/>
  <c r="AW30" i="15"/>
  <c r="AW22" i="15"/>
  <c r="AW14" i="15"/>
  <c r="BH88" i="15"/>
  <c r="AU51" i="15"/>
  <c r="AU47" i="15"/>
  <c r="AU43" i="15"/>
  <c r="AU39" i="15"/>
  <c r="AU35" i="15"/>
  <c r="AU31" i="15"/>
  <c r="AU23" i="15"/>
  <c r="AU19" i="15"/>
  <c r="AU7" i="15"/>
  <c r="AV86" i="15"/>
  <c r="AV78" i="15"/>
  <c r="AV74" i="15"/>
  <c r="AV70" i="15"/>
  <c r="AV66" i="15"/>
  <c r="AV62" i="15"/>
  <c r="AV58" i="15"/>
  <c r="AV54" i="15"/>
  <c r="AV42" i="15"/>
  <c r="AV38" i="15"/>
  <c r="AV30" i="15"/>
  <c r="AV26" i="15"/>
  <c r="AV14" i="15"/>
  <c r="AV10" i="15"/>
  <c r="AW89" i="15"/>
  <c r="AW85" i="15"/>
  <c r="AW81" i="15"/>
  <c r="AW77" i="15"/>
  <c r="AW69" i="15"/>
  <c r="AW61" i="15"/>
  <c r="AW57" i="15"/>
  <c r="AW53" i="15"/>
  <c r="AW49" i="15"/>
  <c r="AW45" i="15"/>
  <c r="AW41" i="15"/>
  <c r="AW33" i="15"/>
  <c r="AW29" i="15"/>
  <c r="AW25" i="15"/>
  <c r="AW17" i="15"/>
  <c r="AW13" i="15"/>
  <c r="AW9" i="15"/>
  <c r="BC87" i="15"/>
  <c r="BC83" i="15"/>
  <c r="BC71" i="15"/>
  <c r="BC67" i="15"/>
  <c r="BC63" i="15"/>
  <c r="BC51" i="15"/>
  <c r="BC47" i="15"/>
  <c r="BC43" i="15"/>
  <c r="BC39" i="15"/>
  <c r="BC35" i="15"/>
  <c r="BC23" i="15"/>
  <c r="BC19" i="15"/>
  <c r="BC15" i="15"/>
  <c r="BC86" i="15"/>
  <c r="BC74" i="15"/>
  <c r="BC70" i="15"/>
  <c r="BC66" i="15"/>
  <c r="BC54" i="15"/>
  <c r="BC38" i="15"/>
  <c r="BC22" i="15"/>
  <c r="BC6" i="15"/>
  <c r="BC85" i="15"/>
  <c r="BC69" i="15"/>
  <c r="BC53" i="15"/>
  <c r="BC37" i="15"/>
  <c r="BC21" i="15"/>
  <c r="BF90" i="15"/>
  <c r="BH4" i="15"/>
  <c r="BG90" i="15"/>
  <c r="BC7" i="15"/>
  <c r="AZ90" i="15"/>
  <c r="BH83" i="15"/>
  <c r="BH71" i="15"/>
  <c r="BH55" i="15"/>
  <c r="BH39" i="15"/>
  <c r="BH23" i="15"/>
  <c r="BH7" i="15"/>
  <c r="BE90" i="15"/>
  <c r="BH78" i="15"/>
  <c r="BH62" i="15"/>
  <c r="BH42" i="15"/>
  <c r="BH30" i="15"/>
  <c r="BH10" i="15"/>
  <c r="BH89" i="15"/>
  <c r="BH73" i="15"/>
  <c r="BH53" i="15"/>
  <c r="BH37" i="15"/>
  <c r="BH21" i="15"/>
  <c r="BH5" i="15"/>
  <c r="E64" i="15"/>
  <c r="N83" i="13"/>
  <c r="E66" i="15"/>
  <c r="N70" i="13"/>
  <c r="AH38" i="15" s="1"/>
  <c r="E38" i="15"/>
  <c r="E83" i="15"/>
  <c r="E47" i="15"/>
  <c r="E60" i="15"/>
  <c r="N71" i="13"/>
  <c r="E76" i="15"/>
  <c r="E62" i="15"/>
  <c r="N56" i="13"/>
  <c r="AH62" i="15" s="1"/>
  <c r="N88" i="13"/>
  <c r="N53" i="13"/>
  <c r="M80" i="13"/>
  <c r="AE47" i="15" s="1"/>
  <c r="B45" i="7"/>
  <c r="B36" i="7"/>
  <c r="Q5" i="4"/>
  <c r="K5" i="4"/>
  <c r="I9" i="4"/>
  <c r="Q9" i="4"/>
  <c r="U6" i="4"/>
  <c r="Q43" i="12"/>
  <c r="E15" i="4"/>
  <c r="U14" i="4"/>
  <c r="Q35" i="12"/>
  <c r="U10" i="4"/>
  <c r="Q23" i="12"/>
  <c r="U18" i="4"/>
  <c r="Q47" i="12"/>
  <c r="E11" i="4"/>
  <c r="Q7" i="12"/>
  <c r="AN77" i="15" l="1"/>
  <c r="R9" i="17"/>
  <c r="R12" i="17"/>
  <c r="R13" i="17"/>
  <c r="R4" i="17"/>
  <c r="F11" i="3"/>
  <c r="F27" i="3"/>
  <c r="AH69" i="15"/>
  <c r="F15" i="3"/>
  <c r="F9" i="3"/>
  <c r="F10" i="3"/>
  <c r="F13" i="3"/>
  <c r="F16" i="3"/>
  <c r="N14" i="17"/>
  <c r="F39" i="7"/>
  <c r="A10" i="7"/>
  <c r="F17" i="3"/>
  <c r="F20" i="3"/>
  <c r="F3" i="7"/>
  <c r="AE16" i="15"/>
  <c r="F15" i="7"/>
  <c r="F16" i="7"/>
  <c r="W6" i="12"/>
  <c r="P5" i="18" s="1"/>
  <c r="E4" i="18"/>
  <c r="M4" i="18"/>
  <c r="U4" i="18"/>
  <c r="L5" i="18"/>
  <c r="G26" i="5"/>
  <c r="W42" i="15"/>
  <c r="AB65" i="15"/>
  <c r="F30" i="3"/>
  <c r="G12" i="5"/>
  <c r="R6" i="17"/>
  <c r="T49" i="15"/>
  <c r="F28" i="3"/>
  <c r="F12" i="7"/>
  <c r="F19" i="3"/>
  <c r="F26" i="3"/>
  <c r="G27" i="5"/>
  <c r="R16" i="17"/>
  <c r="F9" i="7"/>
  <c r="F26" i="7"/>
  <c r="F30" i="7"/>
  <c r="R9" i="18"/>
  <c r="R6" i="18"/>
  <c r="P4" i="18"/>
  <c r="E28" i="15"/>
  <c r="N50" i="13"/>
  <c r="AH28" i="15" s="1"/>
  <c r="N33" i="13"/>
  <c r="AH31" i="15" s="1"/>
  <c r="E31" i="15"/>
  <c r="P11" i="18"/>
  <c r="A9" i="7"/>
  <c r="A11" i="7"/>
  <c r="F10" i="7"/>
  <c r="A12" i="7"/>
  <c r="F22" i="7"/>
  <c r="F31" i="7"/>
  <c r="F43" i="7"/>
  <c r="F44" i="7"/>
  <c r="F11" i="7"/>
  <c r="F13" i="7"/>
  <c r="A13" i="7"/>
  <c r="AE36" i="15"/>
  <c r="AE32" i="15"/>
  <c r="AE89" i="15"/>
  <c r="F8" i="7"/>
  <c r="F24" i="7"/>
  <c r="F25" i="7"/>
  <c r="AE55" i="15"/>
  <c r="AE88" i="15"/>
  <c r="F21" i="7"/>
  <c r="F42" i="7"/>
  <c r="F23" i="7"/>
  <c r="F27" i="7"/>
  <c r="AE14" i="15"/>
  <c r="W8" i="15"/>
  <c r="W4" i="15"/>
  <c r="W14" i="15"/>
  <c r="W22" i="15"/>
  <c r="W56" i="15"/>
  <c r="L18" i="4"/>
  <c r="N4" i="4"/>
  <c r="L4" i="4"/>
  <c r="W74" i="15"/>
  <c r="W18" i="15"/>
  <c r="R15" i="17"/>
  <c r="R10" i="17"/>
  <c r="R11" i="17"/>
  <c r="R14" i="17"/>
  <c r="R7" i="17"/>
  <c r="P6" i="17"/>
  <c r="P11" i="17"/>
  <c r="P15" i="17"/>
  <c r="P9" i="17"/>
  <c r="P7" i="17"/>
  <c r="AN63" i="15"/>
  <c r="N17" i="17"/>
  <c r="AN13" i="15"/>
  <c r="G29" i="5"/>
  <c r="G31" i="5"/>
  <c r="G20" i="5"/>
  <c r="G32" i="5"/>
  <c r="G14" i="5"/>
  <c r="G22" i="5"/>
  <c r="G23" i="5"/>
  <c r="G24" i="5"/>
  <c r="G28" i="5"/>
  <c r="G10" i="5"/>
  <c r="G15" i="5"/>
  <c r="AB81" i="15"/>
  <c r="G19" i="5"/>
  <c r="G8" i="5"/>
  <c r="G7" i="5"/>
  <c r="G25" i="5"/>
  <c r="G30" i="5"/>
  <c r="G17" i="5"/>
  <c r="G21" i="5"/>
  <c r="G13" i="5"/>
  <c r="G11" i="5"/>
  <c r="G4" i="5"/>
  <c r="G16" i="5"/>
  <c r="G18" i="5"/>
  <c r="G5" i="5"/>
  <c r="G9" i="5"/>
  <c r="G6" i="5"/>
  <c r="AB7" i="15"/>
  <c r="AB89" i="15"/>
  <c r="AB64" i="15"/>
  <c r="AB32" i="15"/>
  <c r="AB43" i="15"/>
  <c r="AB79" i="15"/>
  <c r="AB72" i="15"/>
  <c r="AB85" i="15"/>
  <c r="F32" i="3"/>
  <c r="F23" i="3"/>
  <c r="F33" i="3"/>
  <c r="F31" i="3"/>
  <c r="F29" i="3"/>
  <c r="F18" i="3"/>
  <c r="T45" i="15"/>
  <c r="T73" i="15"/>
  <c r="T4" i="15"/>
  <c r="F21" i="3"/>
  <c r="T30" i="15"/>
  <c r="F24" i="3"/>
  <c r="F25" i="3"/>
  <c r="P13" i="17"/>
  <c r="AH77" i="15"/>
  <c r="AH63" i="15"/>
  <c r="AH76" i="15"/>
  <c r="AH74" i="15"/>
  <c r="AH18" i="15"/>
  <c r="AH55" i="15"/>
  <c r="AH88" i="15"/>
  <c r="AH89" i="15"/>
  <c r="AH52" i="15"/>
  <c r="AH21" i="15"/>
  <c r="AH64" i="15"/>
  <c r="AE49" i="15"/>
  <c r="AH66" i="15"/>
  <c r="AV5" i="15"/>
  <c r="AV90" i="15" s="1"/>
  <c r="AU5" i="15"/>
  <c r="AW3" i="15"/>
  <c r="AW90" i="15" s="1"/>
  <c r="AU3" i="15"/>
  <c r="P16" i="17"/>
  <c r="P14" i="17"/>
  <c r="P12" i="17"/>
  <c r="A35" i="7"/>
  <c r="A20" i="7"/>
  <c r="A31" i="7"/>
  <c r="A19" i="7"/>
  <c r="A26" i="7"/>
  <c r="A28" i="7"/>
  <c r="A16" i="7"/>
  <c r="A24" i="7"/>
  <c r="A22" i="7"/>
  <c r="A23" i="7"/>
  <c r="A17" i="7"/>
  <c r="A14" i="7"/>
  <c r="F14" i="7"/>
  <c r="A34" i="7"/>
  <c r="A21" i="7"/>
  <c r="A33" i="7"/>
  <c r="A15" i="7"/>
  <c r="A32" i="7"/>
  <c r="A25" i="7"/>
  <c r="A29" i="7"/>
  <c r="A30" i="7"/>
  <c r="A18" i="7"/>
  <c r="A27" i="7"/>
  <c r="P10" i="17"/>
  <c r="P8" i="17"/>
  <c r="F32" i="7"/>
  <c r="F41" i="7"/>
  <c r="F29" i="7"/>
  <c r="F19" i="7"/>
  <c r="F28" i="7"/>
  <c r="F17" i="7"/>
  <c r="F20" i="7"/>
  <c r="F18" i="7"/>
  <c r="F34" i="7"/>
  <c r="F40" i="7"/>
  <c r="F4" i="7"/>
  <c r="F38" i="7"/>
  <c r="P5" i="17"/>
  <c r="BC90" i="15"/>
  <c r="AR90" i="15"/>
  <c r="AT90" i="15"/>
  <c r="X90" i="15"/>
  <c r="AS90" i="15"/>
  <c r="AC90" i="15"/>
  <c r="Z90" i="15"/>
  <c r="BH90" i="15"/>
  <c r="Y90" i="15"/>
  <c r="P10" i="4"/>
  <c r="L15" i="4"/>
  <c r="P16" i="4"/>
  <c r="L16" i="4"/>
  <c r="P5" i="4"/>
  <c r="P8" i="4"/>
  <c r="L5" i="4"/>
  <c r="L8" i="4"/>
  <c r="P18" i="4"/>
  <c r="P15" i="4"/>
  <c r="P6" i="4"/>
  <c r="L12" i="4"/>
  <c r="L11" i="4"/>
  <c r="L9" i="4"/>
  <c r="L17" i="4"/>
  <c r="L6" i="4"/>
  <c r="L13" i="4"/>
  <c r="P4" i="4"/>
  <c r="P11" i="4"/>
  <c r="A39" i="7"/>
  <c r="A41" i="7"/>
  <c r="A45" i="7"/>
  <c r="A37" i="7"/>
  <c r="A44" i="7"/>
  <c r="A36" i="7"/>
  <c r="F36" i="7"/>
  <c r="A42" i="7"/>
  <c r="A43" i="7"/>
  <c r="A40" i="7"/>
  <c r="A38" i="7"/>
  <c r="L10" i="4"/>
  <c r="P14" i="4"/>
  <c r="P17" i="4"/>
  <c r="P7" i="4"/>
  <c r="P13" i="4"/>
  <c r="N6" i="4"/>
  <c r="N13" i="4"/>
  <c r="N10" i="4"/>
  <c r="N5" i="4"/>
  <c r="N16" i="4"/>
  <c r="N12" i="4"/>
  <c r="N11" i="4"/>
  <c r="N17" i="4"/>
  <c r="N7" i="4"/>
  <c r="N18" i="4"/>
  <c r="N8" i="4"/>
  <c r="N14" i="4"/>
  <c r="N15" i="4"/>
  <c r="N9" i="4"/>
  <c r="L14" i="4"/>
  <c r="P12" i="4"/>
  <c r="P9" i="4"/>
  <c r="L7" i="4"/>
  <c r="F45" i="7"/>
  <c r="J12" i="17" l="1"/>
  <c r="H12" i="17"/>
  <c r="J14" i="17"/>
  <c r="J9" i="17"/>
  <c r="V9" i="17" s="1"/>
  <c r="L13" i="17"/>
  <c r="H9" i="17"/>
  <c r="L16" i="17"/>
  <c r="H6" i="17"/>
  <c r="T6" i="17" s="1"/>
  <c r="J7" i="17"/>
  <c r="H16" i="17"/>
  <c r="H14" i="17"/>
  <c r="H11" i="17"/>
  <c r="L12" i="17"/>
  <c r="L15" i="17"/>
  <c r="H5" i="17"/>
  <c r="L7" i="17"/>
  <c r="X7" i="17" s="1"/>
  <c r="J4" i="17"/>
  <c r="L9" i="17"/>
  <c r="L14" i="17"/>
  <c r="X14" i="17" s="1"/>
  <c r="H8" i="17"/>
  <c r="T8" i="17" s="1"/>
  <c r="H4" i="17"/>
  <c r="L4" i="17"/>
  <c r="J15" i="17"/>
  <c r="V15" i="17" s="1"/>
  <c r="J13" i="17"/>
  <c r="V13" i="17" s="1"/>
  <c r="L6" i="17"/>
  <c r="L10" i="17"/>
  <c r="J10" i="17"/>
  <c r="V10" i="17" s="1"/>
  <c r="J5" i="17"/>
  <c r="J8" i="17"/>
  <c r="J6" i="17"/>
  <c r="V6" i="17" s="1"/>
  <c r="J16" i="17"/>
  <c r="L8" i="17"/>
  <c r="X8" i="17" s="1"/>
  <c r="J11" i="17"/>
  <c r="H7" i="17"/>
  <c r="T7" i="17" s="1"/>
  <c r="L11" i="17"/>
  <c r="L5" i="17"/>
  <c r="X5" i="17" s="1"/>
  <c r="H15" i="17"/>
  <c r="T15" i="17" s="1"/>
  <c r="H13" i="17"/>
  <c r="H10" i="17"/>
  <c r="V5" i="17"/>
  <c r="V11" i="17"/>
  <c r="V12" i="17"/>
  <c r="T9" i="17"/>
  <c r="X10" i="17"/>
  <c r="T12" i="17"/>
  <c r="V14" i="17"/>
  <c r="V16" i="17"/>
  <c r="T4" i="17"/>
  <c r="X9" i="17"/>
  <c r="T11" i="17"/>
  <c r="X16" i="17"/>
  <c r="X11" i="17"/>
  <c r="X13" i="17"/>
  <c r="T13" i="17"/>
  <c r="T10" i="17"/>
  <c r="T16" i="17"/>
  <c r="V8" i="17"/>
  <c r="T5" i="17"/>
  <c r="X6" i="17"/>
  <c r="X12" i="17"/>
  <c r="T14" i="17"/>
  <c r="V7" i="17"/>
  <c r="X15" i="17"/>
  <c r="F28" i="5"/>
  <c r="H28" i="5" s="1"/>
  <c r="E6" i="7"/>
  <c r="G6" i="7" s="1"/>
  <c r="F10" i="4"/>
  <c r="R10" i="4" s="1"/>
  <c r="E4" i="7"/>
  <c r="G4" i="7" s="1"/>
  <c r="F16" i="5"/>
  <c r="H16" i="5" s="1"/>
  <c r="F15" i="5"/>
  <c r="H15" i="5" s="1"/>
  <c r="F12" i="5"/>
  <c r="H12" i="5" s="1"/>
  <c r="H15" i="4"/>
  <c r="T15" i="4" s="1"/>
  <c r="E10" i="3"/>
  <c r="G10" i="3" s="1"/>
  <c r="F9" i="5"/>
  <c r="H9" i="5" s="1"/>
  <c r="E19" i="3"/>
  <c r="G19" i="3" s="1"/>
  <c r="R4" i="18"/>
  <c r="E17" i="3"/>
  <c r="G17" i="3" s="1"/>
  <c r="F26" i="5"/>
  <c r="H26" i="5" s="1"/>
  <c r="J5" i="4"/>
  <c r="V5" i="4" s="1"/>
  <c r="F18" i="5"/>
  <c r="H18" i="5" s="1"/>
  <c r="F20" i="5"/>
  <c r="H20" i="5" s="1"/>
  <c r="N4" i="18"/>
  <c r="H8" i="4"/>
  <c r="T8" i="4" s="1"/>
  <c r="F11" i="4"/>
  <c r="R11" i="4" s="1"/>
  <c r="H4" i="4"/>
  <c r="T4" i="4" s="1"/>
  <c r="F34" i="3"/>
  <c r="E13" i="3"/>
  <c r="G13" i="3" s="1"/>
  <c r="F22" i="5"/>
  <c r="H22" i="5" s="1"/>
  <c r="F5" i="4"/>
  <c r="R5" i="4" s="1"/>
  <c r="R5" i="18"/>
  <c r="L11" i="18"/>
  <c r="N5" i="18"/>
  <c r="AU90" i="15"/>
  <c r="E21" i="3"/>
  <c r="G21" i="3" s="1"/>
  <c r="E28" i="3"/>
  <c r="G28" i="3" s="1"/>
  <c r="R17" i="17"/>
  <c r="L6" i="18"/>
  <c r="E23" i="3"/>
  <c r="G23" i="3" s="1"/>
  <c r="E18" i="3"/>
  <c r="G18" i="3" s="1"/>
  <c r="G33" i="5"/>
  <c r="E11" i="7"/>
  <c r="G11" i="7" s="1"/>
  <c r="P8" i="18"/>
  <c r="N6" i="18"/>
  <c r="P9" i="18"/>
  <c r="N10" i="18"/>
  <c r="P10" i="18"/>
  <c r="L9" i="18"/>
  <c r="L7" i="18"/>
  <c r="N11" i="18"/>
  <c r="L8" i="18"/>
  <c r="L10" i="18"/>
  <c r="P6" i="18"/>
  <c r="R10" i="18"/>
  <c r="N7" i="18"/>
  <c r="R11" i="18"/>
  <c r="N8" i="18"/>
  <c r="R8" i="18"/>
  <c r="N9" i="18"/>
  <c r="R7" i="18"/>
  <c r="P7" i="18"/>
  <c r="X4" i="17"/>
  <c r="F8" i="18"/>
  <c r="D8" i="18"/>
  <c r="J8" i="18"/>
  <c r="D4" i="18"/>
  <c r="T4" i="18" s="1"/>
  <c r="J10" i="18"/>
  <c r="J9" i="18"/>
  <c r="Z9" i="18" s="1"/>
  <c r="D5" i="18"/>
  <c r="T5" i="18" s="1"/>
  <c r="J5" i="18"/>
  <c r="Z5" i="18" s="1"/>
  <c r="F7" i="18"/>
  <c r="V7" i="18" s="1"/>
  <c r="F11" i="18"/>
  <c r="V11" i="18" s="1"/>
  <c r="H10" i="18"/>
  <c r="X10" i="18" s="1"/>
  <c r="H9" i="18"/>
  <c r="H7" i="18"/>
  <c r="H11" i="18"/>
  <c r="X11" i="18" s="1"/>
  <c r="D11" i="18"/>
  <c r="F5" i="18"/>
  <c r="J6" i="18"/>
  <c r="Z6" i="18" s="1"/>
  <c r="D10" i="18"/>
  <c r="T10" i="18" s="1"/>
  <c r="F6" i="18"/>
  <c r="J7" i="18"/>
  <c r="Z7" i="18" s="1"/>
  <c r="H4" i="18"/>
  <c r="X4" i="18" s="1"/>
  <c r="H5" i="18"/>
  <c r="X5" i="18" s="1"/>
  <c r="D6" i="18"/>
  <c r="F4" i="18"/>
  <c r="J11" i="18"/>
  <c r="F10" i="18"/>
  <c r="V10" i="18" s="1"/>
  <c r="D9" i="18"/>
  <c r="F9" i="18"/>
  <c r="V9" i="18" s="1"/>
  <c r="H6" i="18"/>
  <c r="J4" i="18"/>
  <c r="Z4" i="18" s="1"/>
  <c r="H8" i="18"/>
  <c r="X8" i="18" s="1"/>
  <c r="D7" i="18"/>
  <c r="E33" i="7"/>
  <c r="G33" i="7" s="1"/>
  <c r="E34" i="7"/>
  <c r="G34" i="7" s="1"/>
  <c r="E24" i="7"/>
  <c r="G24" i="7" s="1"/>
  <c r="E45" i="7"/>
  <c r="G45" i="7" s="1"/>
  <c r="E16" i="7"/>
  <c r="G16" i="7" s="1"/>
  <c r="E17" i="7"/>
  <c r="G17" i="7" s="1"/>
  <c r="E15" i="7"/>
  <c r="G15" i="7" s="1"/>
  <c r="E29" i="7"/>
  <c r="G29" i="7" s="1"/>
  <c r="E19" i="7"/>
  <c r="G19" i="7" s="1"/>
  <c r="E20" i="7"/>
  <c r="G20" i="7" s="1"/>
  <c r="E43" i="7"/>
  <c r="G43" i="7" s="1"/>
  <c r="E10" i="7"/>
  <c r="G10" i="7" s="1"/>
  <c r="E35" i="7"/>
  <c r="G35" i="7" s="1"/>
  <c r="E14" i="7"/>
  <c r="G14" i="7" s="1"/>
  <c r="E38" i="7"/>
  <c r="G38" i="7" s="1"/>
  <c r="E31" i="7"/>
  <c r="G31" i="7" s="1"/>
  <c r="E9" i="7"/>
  <c r="G9" i="7" s="1"/>
  <c r="E22" i="7"/>
  <c r="G22" i="7" s="1"/>
  <c r="E12" i="7"/>
  <c r="G12" i="7" s="1"/>
  <c r="E23" i="7"/>
  <c r="G23" i="7" s="1"/>
  <c r="E32" i="7"/>
  <c r="G32" i="7" s="1"/>
  <c r="E28" i="7"/>
  <c r="G28" i="7" s="1"/>
  <c r="E44" i="7"/>
  <c r="G44" i="7" s="1"/>
  <c r="E42" i="7"/>
  <c r="G42" i="7" s="1"/>
  <c r="E26" i="7"/>
  <c r="G26" i="7" s="1"/>
  <c r="E3" i="7"/>
  <c r="G3" i="7" s="1"/>
  <c r="E5" i="7"/>
  <c r="G5" i="7" s="1"/>
  <c r="E36" i="7"/>
  <c r="G36" i="7" s="1"/>
  <c r="E18" i="7"/>
  <c r="G18" i="7" s="1"/>
  <c r="E8" i="7"/>
  <c r="G8" i="7" s="1"/>
  <c r="E27" i="7"/>
  <c r="G27" i="7" s="1"/>
  <c r="E39" i="7"/>
  <c r="G39" i="7" s="1"/>
  <c r="E25" i="7"/>
  <c r="G25" i="7" s="1"/>
  <c r="E13" i="7"/>
  <c r="G13" i="7" s="1"/>
  <c r="E40" i="7"/>
  <c r="G40" i="7" s="1"/>
  <c r="E30" i="7"/>
  <c r="G30" i="7" s="1"/>
  <c r="E7" i="7"/>
  <c r="G7" i="7" s="1"/>
  <c r="E37" i="7"/>
  <c r="G37" i="7" s="1"/>
  <c r="E41" i="7"/>
  <c r="G41" i="7" s="1"/>
  <c r="E21" i="7"/>
  <c r="G21" i="7" s="1"/>
  <c r="J11" i="4"/>
  <c r="V11" i="4" s="1"/>
  <c r="F15" i="4"/>
  <c r="R15" i="4" s="1"/>
  <c r="H9" i="4"/>
  <c r="T9" i="4" s="1"/>
  <c r="J7" i="4"/>
  <c r="V7" i="4" s="1"/>
  <c r="F9" i="4"/>
  <c r="R9" i="4" s="1"/>
  <c r="F16" i="4"/>
  <c r="R16" i="4" s="1"/>
  <c r="H5" i="4"/>
  <c r="T5" i="4" s="1"/>
  <c r="J12" i="4"/>
  <c r="V12" i="4" s="1"/>
  <c r="J15" i="4"/>
  <c r="V15" i="4" s="1"/>
  <c r="H11" i="4"/>
  <c r="T11" i="4" s="1"/>
  <c r="F8" i="4"/>
  <c r="R8" i="4" s="1"/>
  <c r="L19" i="4"/>
  <c r="F6" i="4"/>
  <c r="R6" i="4" s="1"/>
  <c r="F4" i="4"/>
  <c r="R4" i="4" s="1"/>
  <c r="F17" i="4"/>
  <c r="R17" i="4" s="1"/>
  <c r="J13" i="4"/>
  <c r="V13" i="4" s="1"/>
  <c r="F18" i="4"/>
  <c r="R18" i="4" s="1"/>
  <c r="J10" i="4"/>
  <c r="V10" i="4" s="1"/>
  <c r="H13" i="4"/>
  <c r="T13" i="4" s="1"/>
  <c r="H10" i="4"/>
  <c r="T10" i="4" s="1"/>
  <c r="F13" i="4"/>
  <c r="R13" i="4" s="1"/>
  <c r="H14" i="4"/>
  <c r="T14" i="4" s="1"/>
  <c r="J9" i="4"/>
  <c r="V9" i="4" s="1"/>
  <c r="J14" i="4"/>
  <c r="V14" i="4" s="1"/>
  <c r="H12" i="4"/>
  <c r="T12" i="4" s="1"/>
  <c r="F7" i="4"/>
  <c r="R7" i="4" s="1"/>
  <c r="H6" i="4"/>
  <c r="T6" i="4" s="1"/>
  <c r="J6" i="4"/>
  <c r="V6" i="4" s="1"/>
  <c r="J18" i="4"/>
  <c r="V18" i="4" s="1"/>
  <c r="H18" i="4"/>
  <c r="T18" i="4" s="1"/>
  <c r="J4" i="4"/>
  <c r="F12" i="4"/>
  <c r="R12" i="4" s="1"/>
  <c r="H16" i="4"/>
  <c r="T16" i="4" s="1"/>
  <c r="H7" i="4"/>
  <c r="T7" i="4" s="1"/>
  <c r="J17" i="4"/>
  <c r="V17" i="4" s="1"/>
  <c r="F14" i="4"/>
  <c r="R14" i="4" s="1"/>
  <c r="J8" i="4"/>
  <c r="V8" i="4" s="1"/>
  <c r="H17" i="4"/>
  <c r="T17" i="4" s="1"/>
  <c r="J16" i="4"/>
  <c r="V16" i="4" s="1"/>
  <c r="F30" i="5"/>
  <c r="H30" i="5" s="1"/>
  <c r="F4" i="5"/>
  <c r="H4" i="5" s="1"/>
  <c r="F6" i="5"/>
  <c r="H6" i="5" s="1"/>
  <c r="F8" i="5"/>
  <c r="H8" i="5" s="1"/>
  <c r="F5" i="5"/>
  <c r="H5" i="5" s="1"/>
  <c r="F31" i="5"/>
  <c r="H31" i="5" s="1"/>
  <c r="F19" i="5"/>
  <c r="H19" i="5" s="1"/>
  <c r="F24" i="5"/>
  <c r="H24" i="5" s="1"/>
  <c r="F32" i="5"/>
  <c r="H32" i="5" s="1"/>
  <c r="F17" i="5"/>
  <c r="H17" i="5" s="1"/>
  <c r="F21" i="5"/>
  <c r="H21" i="5" s="1"/>
  <c r="F3" i="5"/>
  <c r="H3" i="5" s="1"/>
  <c r="F25" i="5"/>
  <c r="H25" i="5" s="1"/>
  <c r="F7" i="5"/>
  <c r="H7" i="5" s="1"/>
  <c r="F23" i="5"/>
  <c r="H23" i="5" s="1"/>
  <c r="F11" i="5"/>
  <c r="H11" i="5" s="1"/>
  <c r="F27" i="5"/>
  <c r="H27" i="5" s="1"/>
  <c r="F14" i="5"/>
  <c r="H14" i="5" s="1"/>
  <c r="F29" i="5"/>
  <c r="H29" i="5" s="1"/>
  <c r="F13" i="5"/>
  <c r="H13" i="5" s="1"/>
  <c r="F10" i="5"/>
  <c r="H10" i="5" s="1"/>
  <c r="E8" i="3"/>
  <c r="G8" i="3" s="1"/>
  <c r="E14" i="3"/>
  <c r="G14" i="3" s="1"/>
  <c r="E9" i="3"/>
  <c r="G9" i="3" s="1"/>
  <c r="E6" i="3"/>
  <c r="G6" i="3" s="1"/>
  <c r="E31" i="3"/>
  <c r="G31" i="3" s="1"/>
  <c r="E16" i="3"/>
  <c r="G16" i="3" s="1"/>
  <c r="E11" i="3"/>
  <c r="G11" i="3" s="1"/>
  <c r="E27" i="3"/>
  <c r="G27" i="3" s="1"/>
  <c r="E32" i="3"/>
  <c r="G32" i="3" s="1"/>
  <c r="E3" i="3"/>
  <c r="E25" i="3"/>
  <c r="G25" i="3" s="1"/>
  <c r="E30" i="3"/>
  <c r="G30" i="3" s="1"/>
  <c r="E24" i="3"/>
  <c r="G24" i="3" s="1"/>
  <c r="E4" i="3"/>
  <c r="G4" i="3" s="1"/>
  <c r="E5" i="3"/>
  <c r="G5" i="3" s="1"/>
  <c r="E29" i="3"/>
  <c r="G29" i="3" s="1"/>
  <c r="E15" i="3"/>
  <c r="G15" i="3" s="1"/>
  <c r="E26" i="3"/>
  <c r="G26" i="3" s="1"/>
  <c r="E22" i="3"/>
  <c r="G22" i="3" s="1"/>
  <c r="E7" i="3"/>
  <c r="G7" i="3" s="1"/>
  <c r="E20" i="3"/>
  <c r="G20" i="3" s="1"/>
  <c r="E33" i="3"/>
  <c r="G33" i="3" s="1"/>
  <c r="E12" i="3"/>
  <c r="G12" i="3" s="1"/>
  <c r="P19" i="4"/>
  <c r="N19" i="4"/>
  <c r="P17" i="17"/>
  <c r="F46" i="7"/>
  <c r="Z11" i="18" l="1"/>
  <c r="T9" i="18"/>
  <c r="V6" i="18"/>
  <c r="T11" i="18"/>
  <c r="J17" i="17"/>
  <c r="V4" i="17"/>
  <c r="V17" i="17" s="1"/>
  <c r="I15" i="5"/>
  <c r="I18" i="5"/>
  <c r="Z10" i="18"/>
  <c r="V5" i="18"/>
  <c r="I12" i="5"/>
  <c r="I9" i="5"/>
  <c r="I27" i="5"/>
  <c r="R12" i="18"/>
  <c r="T6" i="18"/>
  <c r="Z8" i="18"/>
  <c r="P12" i="18"/>
  <c r="I21" i="5"/>
  <c r="X6" i="18"/>
  <c r="T7" i="18"/>
  <c r="T17" i="17"/>
  <c r="H33" i="5"/>
  <c r="I24" i="5"/>
  <c r="I6" i="5"/>
  <c r="T8" i="18"/>
  <c r="N12" i="18"/>
  <c r="X17" i="17"/>
  <c r="X7" i="18"/>
  <c r="V8" i="18"/>
  <c r="F12" i="18"/>
  <c r="X9" i="18"/>
  <c r="L12" i="18"/>
  <c r="V4" i="18"/>
  <c r="J12" i="18"/>
  <c r="H12" i="18"/>
  <c r="D12" i="18"/>
  <c r="E46" i="7"/>
  <c r="F19" i="4"/>
  <c r="J19" i="4"/>
  <c r="V4" i="4"/>
  <c r="V19" i="4" s="1"/>
  <c r="H19" i="4"/>
  <c r="H17" i="17"/>
  <c r="L17" i="17"/>
  <c r="F33" i="5"/>
  <c r="I3" i="5"/>
  <c r="I30" i="5"/>
  <c r="E34" i="3"/>
  <c r="G3" i="3"/>
  <c r="G34" i="3" s="1"/>
  <c r="G46" i="7"/>
  <c r="R19" i="4"/>
  <c r="T19" i="4"/>
  <c r="Z12" i="18" l="1"/>
  <c r="I33" i="5"/>
  <c r="X12" i="18"/>
  <c r="T12" i="18"/>
  <c r="V12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B2" authorId="0" shapeId="0" xr:uid="{780B4DEE-C1AE-488F-AE13-6F767A8B679C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world boss name, then click "Add New World Boss" button.
A new row will be created at the bottom of "World boss Mats" sheet.</t>
        </r>
      </text>
    </comment>
    <comment ref="E2" authorId="0" shapeId="0" xr:uid="{F3E05A39-5827-4BCC-A393-395E1D995EC2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Region name, book name 1, book name 2, book name 3, then click "Add New Talent Book" button.
3 new rows will be created at the bottom of "Talent Books" sheet.</t>
        </r>
      </text>
    </comment>
    <comment ref="H2" authorId="0" shapeId="0" xr:uid="{C6AC5630-42B1-4725-BDFC-9758F20F25F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Weekly Boss Name, Material 1, Material 2, Material 3 and then click "Add New Weekly Boss" button.
3 new rows will be created at the bottom of "Weekly Boss Mats" sheet.</t>
        </r>
      </text>
    </comment>
    <comment ref="B15" authorId="0" shapeId="0" xr:uid="{D4487FC6-2CDE-4942-8BC9-1A26DD56E15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Ascension Flower Name, then click "Add New Ascension Flower" button.
a new row will be created on bottom of "Ascension Materials" sheet at the bottom of Ascension Flower table.</t>
        </r>
      </text>
    </comment>
    <comment ref="E15" authorId="0" shapeId="0" xr:uid="{DE8164DB-A046-4218-A88E-F76BC2E27B4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Ascension Moster Name, Mats 1, Mats 2, Mats 3, then click "Add New Ascension Mob" button.
3 new rows will be created on "Ascension Material" sheet at the bottom of Ascension Mob table.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A3" authorId="0" shapeId="0" xr:uid="{D679CCA7-02B2-4B2E-A48E-88628561F1C1}">
      <text/>
    </comment>
    <comment ref="A4" authorId="0" shapeId="0" xr:uid="{417B313B-12AD-4B8B-80FD-E9633926FEB4}">
      <text/>
    </comment>
    <comment ref="A5" authorId="0" shapeId="0" xr:uid="{0F439D38-2F85-4051-97E2-13EA7B816378}">
      <text/>
    </comment>
    <comment ref="A6" authorId="0" shapeId="0" xr:uid="{56F08745-0AB5-4AE6-9AD1-3FBE8CED2893}">
      <text/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89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6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8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0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2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4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6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8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0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2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4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6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8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0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2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4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6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8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0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2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4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6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8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0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2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4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6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8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0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2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4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6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8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0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2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4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6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8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0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2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4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6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8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0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2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4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6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8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0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2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4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6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8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0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2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4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6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8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0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2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4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6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8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0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2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4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6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8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0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2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4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6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8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0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2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4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6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8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0"/>
        </ext>
      </extLst>
    </bk>
    <bk>
      <extLst>
        <ext uri="{3e2802c4-a4d2-4d8b-9148-e3be6c30e623}">
          <xlrd:rvb i="651"/>
        </ext>
      </extLst>
    </bk>
    <bk>
      <extLst>
        <ext uri="{3e2802c4-a4d2-4d8b-9148-e3be6c30e623}">
          <xlrd:rvb i="652"/>
        </ext>
      </extLst>
    </bk>
    <bk>
      <extLst>
        <ext uri="{3e2802c4-a4d2-4d8b-9148-e3be6c30e623}">
          <xlrd:rvb i="653"/>
        </ext>
      </extLst>
    </bk>
    <bk>
      <extLst>
        <ext uri="{3e2802c4-a4d2-4d8b-9148-e3be6c30e623}">
          <xlrd:rvb i="654"/>
        </ext>
      </extLst>
    </bk>
    <bk>
      <extLst>
        <ext uri="{3e2802c4-a4d2-4d8b-9148-e3be6c30e623}">
          <xlrd:rvb i="655"/>
        </ext>
      </extLst>
    </bk>
    <bk>
      <extLst>
        <ext uri="{3e2802c4-a4d2-4d8b-9148-e3be6c30e623}">
          <xlrd:rvb i="656"/>
        </ext>
      </extLst>
    </bk>
    <bk>
      <extLst>
        <ext uri="{3e2802c4-a4d2-4d8b-9148-e3be6c30e623}">
          <xlrd:rvb i="657"/>
        </ext>
      </extLst>
    </bk>
    <bk>
      <extLst>
        <ext uri="{3e2802c4-a4d2-4d8b-9148-e3be6c30e623}">
          <xlrd:rvb i="658"/>
        </ext>
      </extLst>
    </bk>
    <bk>
      <extLst>
        <ext uri="{3e2802c4-a4d2-4d8b-9148-e3be6c30e623}">
          <xlrd:rvb i="659"/>
        </ext>
      </extLst>
    </bk>
    <bk>
      <extLst>
        <ext uri="{3e2802c4-a4d2-4d8b-9148-e3be6c30e623}">
          <xlrd:rvb i="660"/>
        </ext>
      </extLst>
    </bk>
    <bk>
      <extLst>
        <ext uri="{3e2802c4-a4d2-4d8b-9148-e3be6c30e623}">
          <xlrd:rvb i="661"/>
        </ext>
      </extLst>
    </bk>
    <bk>
      <extLst>
        <ext uri="{3e2802c4-a4d2-4d8b-9148-e3be6c30e623}">
          <xlrd:rvb i="662"/>
        </ext>
      </extLst>
    </bk>
    <bk>
      <extLst>
        <ext uri="{3e2802c4-a4d2-4d8b-9148-e3be6c30e623}">
          <xlrd:rvb i="663"/>
        </ext>
      </extLst>
    </bk>
    <bk>
      <extLst>
        <ext uri="{3e2802c4-a4d2-4d8b-9148-e3be6c30e623}">
          <xlrd:rvb i="664"/>
        </ext>
      </extLst>
    </bk>
    <bk>
      <extLst>
        <ext uri="{3e2802c4-a4d2-4d8b-9148-e3be6c30e623}">
          <xlrd:rvb i="665"/>
        </ext>
      </extLst>
    </bk>
    <bk>
      <extLst>
        <ext uri="{3e2802c4-a4d2-4d8b-9148-e3be6c30e623}">
          <xlrd:rvb i="666"/>
        </ext>
      </extLst>
    </bk>
    <bk>
      <extLst>
        <ext uri="{3e2802c4-a4d2-4d8b-9148-e3be6c30e623}">
          <xlrd:rvb i="667"/>
        </ext>
      </extLst>
    </bk>
    <bk>
      <extLst>
        <ext uri="{3e2802c4-a4d2-4d8b-9148-e3be6c30e623}">
          <xlrd:rvb i="668"/>
        </ext>
      </extLst>
    </bk>
    <bk>
      <extLst>
        <ext uri="{3e2802c4-a4d2-4d8b-9148-e3be6c30e623}">
          <xlrd:rvb i="669"/>
        </ext>
      </extLst>
    </bk>
    <bk>
      <extLst>
        <ext uri="{3e2802c4-a4d2-4d8b-9148-e3be6c30e623}">
          <xlrd:rvb i="670"/>
        </ext>
      </extLst>
    </bk>
    <bk>
      <extLst>
        <ext uri="{3e2802c4-a4d2-4d8b-9148-e3be6c30e623}">
          <xlrd:rvb i="671"/>
        </ext>
      </extLst>
    </bk>
    <bk>
      <extLst>
        <ext uri="{3e2802c4-a4d2-4d8b-9148-e3be6c30e623}">
          <xlrd:rvb i="672"/>
        </ext>
      </extLst>
    </bk>
    <bk>
      <extLst>
        <ext uri="{3e2802c4-a4d2-4d8b-9148-e3be6c30e623}">
          <xlrd:rvb i="673"/>
        </ext>
      </extLst>
    </bk>
    <bk>
      <extLst>
        <ext uri="{3e2802c4-a4d2-4d8b-9148-e3be6c30e623}">
          <xlrd:rvb i="674"/>
        </ext>
      </extLst>
    </bk>
    <bk>
      <extLst>
        <ext uri="{3e2802c4-a4d2-4d8b-9148-e3be6c30e623}">
          <xlrd:rvb i="675"/>
        </ext>
      </extLst>
    </bk>
    <bk>
      <extLst>
        <ext uri="{3e2802c4-a4d2-4d8b-9148-e3be6c30e623}">
          <xlrd:rvb i="676"/>
        </ext>
      </extLst>
    </bk>
    <bk>
      <extLst>
        <ext uri="{3e2802c4-a4d2-4d8b-9148-e3be6c30e623}">
          <xlrd:rvb i="677"/>
        </ext>
      </extLst>
    </bk>
    <bk>
      <extLst>
        <ext uri="{3e2802c4-a4d2-4d8b-9148-e3be6c30e623}">
          <xlrd:rvb i="678"/>
        </ext>
      </extLst>
    </bk>
    <bk>
      <extLst>
        <ext uri="{3e2802c4-a4d2-4d8b-9148-e3be6c30e623}">
          <xlrd:rvb i="679"/>
        </ext>
      </extLst>
    </bk>
    <bk>
      <extLst>
        <ext uri="{3e2802c4-a4d2-4d8b-9148-e3be6c30e623}">
          <xlrd:rvb i="680"/>
        </ext>
      </extLst>
    </bk>
    <bk>
      <extLst>
        <ext uri="{3e2802c4-a4d2-4d8b-9148-e3be6c30e623}">
          <xlrd:rvb i="681"/>
        </ext>
      </extLst>
    </bk>
    <bk>
      <extLst>
        <ext uri="{3e2802c4-a4d2-4d8b-9148-e3be6c30e623}">
          <xlrd:rvb i="682"/>
        </ext>
      </extLst>
    </bk>
    <bk>
      <extLst>
        <ext uri="{3e2802c4-a4d2-4d8b-9148-e3be6c30e623}">
          <xlrd:rvb i="683"/>
        </ext>
      </extLst>
    </bk>
    <bk>
      <extLst>
        <ext uri="{3e2802c4-a4d2-4d8b-9148-e3be6c30e623}">
          <xlrd:rvb i="684"/>
        </ext>
      </extLst>
    </bk>
    <bk>
      <extLst>
        <ext uri="{3e2802c4-a4d2-4d8b-9148-e3be6c30e623}">
          <xlrd:rvb i="685"/>
        </ext>
      </extLst>
    </bk>
    <bk>
      <extLst>
        <ext uri="{3e2802c4-a4d2-4d8b-9148-e3be6c30e623}">
          <xlrd:rvb i="686"/>
        </ext>
      </extLst>
    </bk>
    <bk>
      <extLst>
        <ext uri="{3e2802c4-a4d2-4d8b-9148-e3be6c30e623}">
          <xlrd:rvb i="687"/>
        </ext>
      </extLst>
    </bk>
    <bk>
      <extLst>
        <ext uri="{3e2802c4-a4d2-4d8b-9148-e3be6c30e623}">
          <xlrd:rvb i="688"/>
        </ext>
      </extLst>
    </bk>
    <bk>
      <extLst>
        <ext uri="{3e2802c4-a4d2-4d8b-9148-e3be6c30e623}">
          <xlrd:rvb i="689"/>
        </ext>
      </extLst>
    </bk>
    <bk>
      <extLst>
        <ext uri="{3e2802c4-a4d2-4d8b-9148-e3be6c30e623}">
          <xlrd:rvb i="690"/>
        </ext>
      </extLst>
    </bk>
    <bk>
      <extLst>
        <ext uri="{3e2802c4-a4d2-4d8b-9148-e3be6c30e623}">
          <xlrd:rvb i="691"/>
        </ext>
      </extLst>
    </bk>
    <bk>
      <extLst>
        <ext uri="{3e2802c4-a4d2-4d8b-9148-e3be6c30e623}">
          <xlrd:rvb i="692"/>
        </ext>
      </extLst>
    </bk>
    <bk>
      <extLst>
        <ext uri="{3e2802c4-a4d2-4d8b-9148-e3be6c30e623}">
          <xlrd:rvb i="693"/>
        </ext>
      </extLst>
    </bk>
    <bk>
      <extLst>
        <ext uri="{3e2802c4-a4d2-4d8b-9148-e3be6c30e623}">
          <xlrd:rvb i="694"/>
        </ext>
      </extLst>
    </bk>
    <bk>
      <extLst>
        <ext uri="{3e2802c4-a4d2-4d8b-9148-e3be6c30e623}">
          <xlrd:rvb i="695"/>
        </ext>
      </extLst>
    </bk>
    <bk>
      <extLst>
        <ext uri="{3e2802c4-a4d2-4d8b-9148-e3be6c30e623}">
          <xlrd:rvb i="696"/>
        </ext>
      </extLst>
    </bk>
    <bk>
      <extLst>
        <ext uri="{3e2802c4-a4d2-4d8b-9148-e3be6c30e623}">
          <xlrd:rvb i="697"/>
        </ext>
      </extLst>
    </bk>
    <bk>
      <extLst>
        <ext uri="{3e2802c4-a4d2-4d8b-9148-e3be6c30e623}">
          <xlrd:rvb i="698"/>
        </ext>
      </extLst>
    </bk>
    <bk>
      <extLst>
        <ext uri="{3e2802c4-a4d2-4d8b-9148-e3be6c30e623}">
          <xlrd:rvb i="699"/>
        </ext>
      </extLst>
    </bk>
    <bk>
      <extLst>
        <ext uri="{3e2802c4-a4d2-4d8b-9148-e3be6c30e623}">
          <xlrd:rvb i="700"/>
        </ext>
      </extLst>
    </bk>
    <bk>
      <extLst>
        <ext uri="{3e2802c4-a4d2-4d8b-9148-e3be6c30e623}">
          <xlrd:rvb i="701"/>
        </ext>
      </extLst>
    </bk>
    <bk>
      <extLst>
        <ext uri="{3e2802c4-a4d2-4d8b-9148-e3be6c30e623}">
          <xlrd:rvb i="702"/>
        </ext>
      </extLst>
    </bk>
    <bk>
      <extLst>
        <ext uri="{3e2802c4-a4d2-4d8b-9148-e3be6c30e623}">
          <xlrd:rvb i="703"/>
        </ext>
      </extLst>
    </bk>
    <bk>
      <extLst>
        <ext uri="{3e2802c4-a4d2-4d8b-9148-e3be6c30e623}">
          <xlrd:rvb i="704"/>
        </ext>
      </extLst>
    </bk>
    <bk>
      <extLst>
        <ext uri="{3e2802c4-a4d2-4d8b-9148-e3be6c30e623}">
          <xlrd:rvb i="705"/>
        </ext>
      </extLst>
    </bk>
    <bk>
      <extLst>
        <ext uri="{3e2802c4-a4d2-4d8b-9148-e3be6c30e623}">
          <xlrd:rvb i="706"/>
        </ext>
      </extLst>
    </bk>
    <bk>
      <extLst>
        <ext uri="{3e2802c4-a4d2-4d8b-9148-e3be6c30e623}">
          <xlrd:rvb i="707"/>
        </ext>
      </extLst>
    </bk>
    <bk>
      <extLst>
        <ext uri="{3e2802c4-a4d2-4d8b-9148-e3be6c30e623}">
          <xlrd:rvb i="708"/>
        </ext>
      </extLst>
    </bk>
    <bk>
      <extLst>
        <ext uri="{3e2802c4-a4d2-4d8b-9148-e3be6c30e623}">
          <xlrd:rvb i="709"/>
        </ext>
      </extLst>
    </bk>
    <bk>
      <extLst>
        <ext uri="{3e2802c4-a4d2-4d8b-9148-e3be6c30e623}">
          <xlrd:rvb i="710"/>
        </ext>
      </extLst>
    </bk>
    <bk>
      <extLst>
        <ext uri="{3e2802c4-a4d2-4d8b-9148-e3be6c30e623}">
          <xlrd:rvb i="711"/>
        </ext>
      </extLst>
    </bk>
    <bk>
      <extLst>
        <ext uri="{3e2802c4-a4d2-4d8b-9148-e3be6c30e623}">
          <xlrd:rvb i="712"/>
        </ext>
      </extLst>
    </bk>
    <bk>
      <extLst>
        <ext uri="{3e2802c4-a4d2-4d8b-9148-e3be6c30e623}">
          <xlrd:rvb i="713"/>
        </ext>
      </extLst>
    </bk>
    <bk>
      <extLst>
        <ext uri="{3e2802c4-a4d2-4d8b-9148-e3be6c30e623}">
          <xlrd:rvb i="714"/>
        </ext>
      </extLst>
    </bk>
    <bk>
      <extLst>
        <ext uri="{3e2802c4-a4d2-4d8b-9148-e3be6c30e623}">
          <xlrd:rvb i="715"/>
        </ext>
      </extLst>
    </bk>
    <bk>
      <extLst>
        <ext uri="{3e2802c4-a4d2-4d8b-9148-e3be6c30e623}">
          <xlrd:rvb i="716"/>
        </ext>
      </extLst>
    </bk>
    <bk>
      <extLst>
        <ext uri="{3e2802c4-a4d2-4d8b-9148-e3be6c30e623}">
          <xlrd:rvb i="717"/>
        </ext>
      </extLst>
    </bk>
    <bk>
      <extLst>
        <ext uri="{3e2802c4-a4d2-4d8b-9148-e3be6c30e623}">
          <xlrd:rvb i="718"/>
        </ext>
      </extLst>
    </bk>
    <bk>
      <extLst>
        <ext uri="{3e2802c4-a4d2-4d8b-9148-e3be6c30e623}">
          <xlrd:rvb i="719"/>
        </ext>
      </extLst>
    </bk>
    <bk>
      <extLst>
        <ext uri="{3e2802c4-a4d2-4d8b-9148-e3be6c30e623}">
          <xlrd:rvb i="720"/>
        </ext>
      </extLst>
    </bk>
    <bk>
      <extLst>
        <ext uri="{3e2802c4-a4d2-4d8b-9148-e3be6c30e623}">
          <xlrd:rvb i="721"/>
        </ext>
      </extLst>
    </bk>
    <bk>
      <extLst>
        <ext uri="{3e2802c4-a4d2-4d8b-9148-e3be6c30e623}">
          <xlrd:rvb i="722"/>
        </ext>
      </extLst>
    </bk>
    <bk>
      <extLst>
        <ext uri="{3e2802c4-a4d2-4d8b-9148-e3be6c30e623}">
          <xlrd:rvb i="723"/>
        </ext>
      </extLst>
    </bk>
    <bk>
      <extLst>
        <ext uri="{3e2802c4-a4d2-4d8b-9148-e3be6c30e623}">
          <xlrd:rvb i="724"/>
        </ext>
      </extLst>
    </bk>
    <bk>
      <extLst>
        <ext uri="{3e2802c4-a4d2-4d8b-9148-e3be6c30e623}">
          <xlrd:rvb i="725"/>
        </ext>
      </extLst>
    </bk>
    <bk>
      <extLst>
        <ext uri="{3e2802c4-a4d2-4d8b-9148-e3be6c30e623}">
          <xlrd:rvb i="726"/>
        </ext>
      </extLst>
    </bk>
    <bk>
      <extLst>
        <ext uri="{3e2802c4-a4d2-4d8b-9148-e3be6c30e623}">
          <xlrd:rvb i="727"/>
        </ext>
      </extLst>
    </bk>
    <bk>
      <extLst>
        <ext uri="{3e2802c4-a4d2-4d8b-9148-e3be6c30e623}">
          <xlrd:rvb i="728"/>
        </ext>
      </extLst>
    </bk>
    <bk>
      <extLst>
        <ext uri="{3e2802c4-a4d2-4d8b-9148-e3be6c30e623}">
          <xlrd:rvb i="729"/>
        </ext>
      </extLst>
    </bk>
    <bk>
      <extLst>
        <ext uri="{3e2802c4-a4d2-4d8b-9148-e3be6c30e623}">
          <xlrd:rvb i="730"/>
        </ext>
      </extLst>
    </bk>
    <bk>
      <extLst>
        <ext uri="{3e2802c4-a4d2-4d8b-9148-e3be6c30e623}">
          <xlrd:rvb i="731"/>
        </ext>
      </extLst>
    </bk>
    <bk>
      <extLst>
        <ext uri="{3e2802c4-a4d2-4d8b-9148-e3be6c30e623}">
          <xlrd:rvb i="732"/>
        </ext>
      </extLst>
    </bk>
    <bk>
      <extLst>
        <ext uri="{3e2802c4-a4d2-4d8b-9148-e3be6c30e623}">
          <xlrd:rvb i="733"/>
        </ext>
      </extLst>
    </bk>
    <bk>
      <extLst>
        <ext uri="{3e2802c4-a4d2-4d8b-9148-e3be6c30e623}">
          <xlrd:rvb i="734"/>
        </ext>
      </extLst>
    </bk>
    <bk>
      <extLst>
        <ext uri="{3e2802c4-a4d2-4d8b-9148-e3be6c30e623}">
          <xlrd:rvb i="735"/>
        </ext>
      </extLst>
    </bk>
    <bk>
      <extLst>
        <ext uri="{3e2802c4-a4d2-4d8b-9148-e3be6c30e623}">
          <xlrd:rvb i="736"/>
        </ext>
      </extLst>
    </bk>
    <bk>
      <extLst>
        <ext uri="{3e2802c4-a4d2-4d8b-9148-e3be6c30e623}">
          <xlrd:rvb i="737"/>
        </ext>
      </extLst>
    </bk>
    <bk>
      <extLst>
        <ext uri="{3e2802c4-a4d2-4d8b-9148-e3be6c30e623}">
          <xlrd:rvb i="738"/>
        </ext>
      </extLst>
    </bk>
    <bk>
      <extLst>
        <ext uri="{3e2802c4-a4d2-4d8b-9148-e3be6c30e623}">
          <xlrd:rvb i="739"/>
        </ext>
      </extLst>
    </bk>
    <bk>
      <extLst>
        <ext uri="{3e2802c4-a4d2-4d8b-9148-e3be6c30e623}">
          <xlrd:rvb i="740"/>
        </ext>
      </extLst>
    </bk>
    <bk>
      <extLst>
        <ext uri="{3e2802c4-a4d2-4d8b-9148-e3be6c30e623}">
          <xlrd:rvb i="741"/>
        </ext>
      </extLst>
    </bk>
    <bk>
      <extLst>
        <ext uri="{3e2802c4-a4d2-4d8b-9148-e3be6c30e623}">
          <xlrd:rvb i="742"/>
        </ext>
      </extLst>
    </bk>
    <bk>
      <extLst>
        <ext uri="{3e2802c4-a4d2-4d8b-9148-e3be6c30e623}">
          <xlrd:rvb i="743"/>
        </ext>
      </extLst>
    </bk>
    <bk>
      <extLst>
        <ext uri="{3e2802c4-a4d2-4d8b-9148-e3be6c30e623}">
          <xlrd:rvb i="744"/>
        </ext>
      </extLst>
    </bk>
    <bk>
      <extLst>
        <ext uri="{3e2802c4-a4d2-4d8b-9148-e3be6c30e623}">
          <xlrd:rvb i="745"/>
        </ext>
      </extLst>
    </bk>
    <bk>
      <extLst>
        <ext uri="{3e2802c4-a4d2-4d8b-9148-e3be6c30e623}">
          <xlrd:rvb i="746"/>
        </ext>
      </extLst>
    </bk>
    <bk>
      <extLst>
        <ext uri="{3e2802c4-a4d2-4d8b-9148-e3be6c30e623}">
          <xlrd:rvb i="747"/>
        </ext>
      </extLst>
    </bk>
    <bk>
      <extLst>
        <ext uri="{3e2802c4-a4d2-4d8b-9148-e3be6c30e623}">
          <xlrd:rvb i="748"/>
        </ext>
      </extLst>
    </bk>
    <bk>
      <extLst>
        <ext uri="{3e2802c4-a4d2-4d8b-9148-e3be6c30e623}">
          <xlrd:rvb i="749"/>
        </ext>
      </extLst>
    </bk>
    <bk>
      <extLst>
        <ext uri="{3e2802c4-a4d2-4d8b-9148-e3be6c30e623}">
          <xlrd:rvb i="750"/>
        </ext>
      </extLst>
    </bk>
    <bk>
      <extLst>
        <ext uri="{3e2802c4-a4d2-4d8b-9148-e3be6c30e623}">
          <xlrd:rvb i="751"/>
        </ext>
      </extLst>
    </bk>
    <bk>
      <extLst>
        <ext uri="{3e2802c4-a4d2-4d8b-9148-e3be6c30e623}">
          <xlrd:rvb i="752"/>
        </ext>
      </extLst>
    </bk>
    <bk>
      <extLst>
        <ext uri="{3e2802c4-a4d2-4d8b-9148-e3be6c30e623}">
          <xlrd:rvb i="753"/>
        </ext>
      </extLst>
    </bk>
    <bk>
      <extLst>
        <ext uri="{3e2802c4-a4d2-4d8b-9148-e3be6c30e623}">
          <xlrd:rvb i="754"/>
        </ext>
      </extLst>
    </bk>
    <bk>
      <extLst>
        <ext uri="{3e2802c4-a4d2-4d8b-9148-e3be6c30e623}">
          <xlrd:rvb i="755"/>
        </ext>
      </extLst>
    </bk>
    <bk>
      <extLst>
        <ext uri="{3e2802c4-a4d2-4d8b-9148-e3be6c30e623}">
          <xlrd:rvb i="756"/>
        </ext>
      </extLst>
    </bk>
    <bk>
      <extLst>
        <ext uri="{3e2802c4-a4d2-4d8b-9148-e3be6c30e623}">
          <xlrd:rvb i="757"/>
        </ext>
      </extLst>
    </bk>
    <bk>
      <extLst>
        <ext uri="{3e2802c4-a4d2-4d8b-9148-e3be6c30e623}">
          <xlrd:rvb i="758"/>
        </ext>
      </extLst>
    </bk>
    <bk>
      <extLst>
        <ext uri="{3e2802c4-a4d2-4d8b-9148-e3be6c30e623}">
          <xlrd:rvb i="759"/>
        </ext>
      </extLst>
    </bk>
    <bk>
      <extLst>
        <ext uri="{3e2802c4-a4d2-4d8b-9148-e3be6c30e623}">
          <xlrd:rvb i="760"/>
        </ext>
      </extLst>
    </bk>
    <bk>
      <extLst>
        <ext uri="{3e2802c4-a4d2-4d8b-9148-e3be6c30e623}">
          <xlrd:rvb i="761"/>
        </ext>
      </extLst>
    </bk>
    <bk>
      <extLst>
        <ext uri="{3e2802c4-a4d2-4d8b-9148-e3be6c30e623}">
          <xlrd:rvb i="762"/>
        </ext>
      </extLst>
    </bk>
    <bk>
      <extLst>
        <ext uri="{3e2802c4-a4d2-4d8b-9148-e3be6c30e623}">
          <xlrd:rvb i="763"/>
        </ext>
      </extLst>
    </bk>
    <bk>
      <extLst>
        <ext uri="{3e2802c4-a4d2-4d8b-9148-e3be6c30e623}">
          <xlrd:rvb i="764"/>
        </ext>
      </extLst>
    </bk>
    <bk>
      <extLst>
        <ext uri="{3e2802c4-a4d2-4d8b-9148-e3be6c30e623}">
          <xlrd:rvb i="765"/>
        </ext>
      </extLst>
    </bk>
    <bk>
      <extLst>
        <ext uri="{3e2802c4-a4d2-4d8b-9148-e3be6c30e623}">
          <xlrd:rvb i="766"/>
        </ext>
      </extLst>
    </bk>
    <bk>
      <extLst>
        <ext uri="{3e2802c4-a4d2-4d8b-9148-e3be6c30e623}">
          <xlrd:rvb i="767"/>
        </ext>
      </extLst>
    </bk>
    <bk>
      <extLst>
        <ext uri="{3e2802c4-a4d2-4d8b-9148-e3be6c30e623}">
          <xlrd:rvb i="768"/>
        </ext>
      </extLst>
    </bk>
    <bk>
      <extLst>
        <ext uri="{3e2802c4-a4d2-4d8b-9148-e3be6c30e623}">
          <xlrd:rvb i="769"/>
        </ext>
      </extLst>
    </bk>
    <bk>
      <extLst>
        <ext uri="{3e2802c4-a4d2-4d8b-9148-e3be6c30e623}">
          <xlrd:rvb i="770"/>
        </ext>
      </extLst>
    </bk>
    <bk>
      <extLst>
        <ext uri="{3e2802c4-a4d2-4d8b-9148-e3be6c30e623}">
          <xlrd:rvb i="771"/>
        </ext>
      </extLst>
    </bk>
    <bk>
      <extLst>
        <ext uri="{3e2802c4-a4d2-4d8b-9148-e3be6c30e623}">
          <xlrd:rvb i="772"/>
        </ext>
      </extLst>
    </bk>
    <bk>
      <extLst>
        <ext uri="{3e2802c4-a4d2-4d8b-9148-e3be6c30e623}">
          <xlrd:rvb i="773"/>
        </ext>
      </extLst>
    </bk>
    <bk>
      <extLst>
        <ext uri="{3e2802c4-a4d2-4d8b-9148-e3be6c30e623}">
          <xlrd:rvb i="774"/>
        </ext>
      </extLst>
    </bk>
    <bk>
      <extLst>
        <ext uri="{3e2802c4-a4d2-4d8b-9148-e3be6c30e623}">
          <xlrd:rvb i="775"/>
        </ext>
      </extLst>
    </bk>
    <bk>
      <extLst>
        <ext uri="{3e2802c4-a4d2-4d8b-9148-e3be6c30e623}">
          <xlrd:rvb i="776"/>
        </ext>
      </extLst>
    </bk>
    <bk>
      <extLst>
        <ext uri="{3e2802c4-a4d2-4d8b-9148-e3be6c30e623}">
          <xlrd:rvb i="777"/>
        </ext>
      </extLst>
    </bk>
    <bk>
      <extLst>
        <ext uri="{3e2802c4-a4d2-4d8b-9148-e3be6c30e623}">
          <xlrd:rvb i="778"/>
        </ext>
      </extLst>
    </bk>
    <bk>
      <extLst>
        <ext uri="{3e2802c4-a4d2-4d8b-9148-e3be6c30e623}">
          <xlrd:rvb i="779"/>
        </ext>
      </extLst>
    </bk>
    <bk>
      <extLst>
        <ext uri="{3e2802c4-a4d2-4d8b-9148-e3be6c30e623}">
          <xlrd:rvb i="780"/>
        </ext>
      </extLst>
    </bk>
    <bk>
      <extLst>
        <ext uri="{3e2802c4-a4d2-4d8b-9148-e3be6c30e623}">
          <xlrd:rvb i="781"/>
        </ext>
      </extLst>
    </bk>
    <bk>
      <extLst>
        <ext uri="{3e2802c4-a4d2-4d8b-9148-e3be6c30e623}">
          <xlrd:rvb i="782"/>
        </ext>
      </extLst>
    </bk>
    <bk>
      <extLst>
        <ext uri="{3e2802c4-a4d2-4d8b-9148-e3be6c30e623}">
          <xlrd:rvb i="783"/>
        </ext>
      </extLst>
    </bk>
    <bk>
      <extLst>
        <ext uri="{3e2802c4-a4d2-4d8b-9148-e3be6c30e623}">
          <xlrd:rvb i="784"/>
        </ext>
      </extLst>
    </bk>
    <bk>
      <extLst>
        <ext uri="{3e2802c4-a4d2-4d8b-9148-e3be6c30e623}">
          <xlrd:rvb i="785"/>
        </ext>
      </extLst>
    </bk>
    <bk>
      <extLst>
        <ext uri="{3e2802c4-a4d2-4d8b-9148-e3be6c30e623}">
          <xlrd:rvb i="786"/>
        </ext>
      </extLst>
    </bk>
    <bk>
      <extLst>
        <ext uri="{3e2802c4-a4d2-4d8b-9148-e3be6c30e623}">
          <xlrd:rvb i="787"/>
        </ext>
      </extLst>
    </bk>
    <bk>
      <extLst>
        <ext uri="{3e2802c4-a4d2-4d8b-9148-e3be6c30e623}">
          <xlrd:rvb i="788"/>
        </ext>
      </extLst>
    </bk>
    <bk>
      <extLst>
        <ext uri="{3e2802c4-a4d2-4d8b-9148-e3be6c30e623}">
          <xlrd:rvb i="789"/>
        </ext>
      </extLst>
    </bk>
    <bk>
      <extLst>
        <ext uri="{3e2802c4-a4d2-4d8b-9148-e3be6c30e623}">
          <xlrd:rvb i="790"/>
        </ext>
      </extLst>
    </bk>
    <bk>
      <extLst>
        <ext uri="{3e2802c4-a4d2-4d8b-9148-e3be6c30e623}">
          <xlrd:rvb i="791"/>
        </ext>
      </extLst>
    </bk>
    <bk>
      <extLst>
        <ext uri="{3e2802c4-a4d2-4d8b-9148-e3be6c30e623}">
          <xlrd:rvb i="792"/>
        </ext>
      </extLst>
    </bk>
    <bk>
      <extLst>
        <ext uri="{3e2802c4-a4d2-4d8b-9148-e3be6c30e623}">
          <xlrd:rvb i="793"/>
        </ext>
      </extLst>
    </bk>
    <bk>
      <extLst>
        <ext uri="{3e2802c4-a4d2-4d8b-9148-e3be6c30e623}">
          <xlrd:rvb i="794"/>
        </ext>
      </extLst>
    </bk>
    <bk>
      <extLst>
        <ext uri="{3e2802c4-a4d2-4d8b-9148-e3be6c30e623}">
          <xlrd:rvb i="795"/>
        </ext>
      </extLst>
    </bk>
    <bk>
      <extLst>
        <ext uri="{3e2802c4-a4d2-4d8b-9148-e3be6c30e623}">
          <xlrd:rvb i="796"/>
        </ext>
      </extLst>
    </bk>
    <bk>
      <extLst>
        <ext uri="{3e2802c4-a4d2-4d8b-9148-e3be6c30e623}">
          <xlrd:rvb i="797"/>
        </ext>
      </extLst>
    </bk>
    <bk>
      <extLst>
        <ext uri="{3e2802c4-a4d2-4d8b-9148-e3be6c30e623}">
          <xlrd:rvb i="798"/>
        </ext>
      </extLst>
    </bk>
    <bk>
      <extLst>
        <ext uri="{3e2802c4-a4d2-4d8b-9148-e3be6c30e623}">
          <xlrd:rvb i="799"/>
        </ext>
      </extLst>
    </bk>
    <bk>
      <extLst>
        <ext uri="{3e2802c4-a4d2-4d8b-9148-e3be6c30e623}">
          <xlrd:rvb i="800"/>
        </ext>
      </extLst>
    </bk>
    <bk>
      <extLst>
        <ext uri="{3e2802c4-a4d2-4d8b-9148-e3be6c30e623}">
          <xlrd:rvb i="801"/>
        </ext>
      </extLst>
    </bk>
    <bk>
      <extLst>
        <ext uri="{3e2802c4-a4d2-4d8b-9148-e3be6c30e623}">
          <xlrd:rvb i="802"/>
        </ext>
      </extLst>
    </bk>
    <bk>
      <extLst>
        <ext uri="{3e2802c4-a4d2-4d8b-9148-e3be6c30e623}">
          <xlrd:rvb i="803"/>
        </ext>
      </extLst>
    </bk>
    <bk>
      <extLst>
        <ext uri="{3e2802c4-a4d2-4d8b-9148-e3be6c30e623}">
          <xlrd:rvb i="804"/>
        </ext>
      </extLst>
    </bk>
    <bk>
      <extLst>
        <ext uri="{3e2802c4-a4d2-4d8b-9148-e3be6c30e623}">
          <xlrd:rvb i="805"/>
        </ext>
      </extLst>
    </bk>
    <bk>
      <extLst>
        <ext uri="{3e2802c4-a4d2-4d8b-9148-e3be6c30e623}">
          <xlrd:rvb i="806"/>
        </ext>
      </extLst>
    </bk>
    <bk>
      <extLst>
        <ext uri="{3e2802c4-a4d2-4d8b-9148-e3be6c30e623}">
          <xlrd:rvb i="807"/>
        </ext>
      </extLst>
    </bk>
    <bk>
      <extLst>
        <ext uri="{3e2802c4-a4d2-4d8b-9148-e3be6c30e623}">
          <xlrd:rvb i="808"/>
        </ext>
      </extLst>
    </bk>
    <bk>
      <extLst>
        <ext uri="{3e2802c4-a4d2-4d8b-9148-e3be6c30e623}">
          <xlrd:rvb i="809"/>
        </ext>
      </extLst>
    </bk>
    <bk>
      <extLst>
        <ext uri="{3e2802c4-a4d2-4d8b-9148-e3be6c30e623}">
          <xlrd:rvb i="810"/>
        </ext>
      </extLst>
    </bk>
    <bk>
      <extLst>
        <ext uri="{3e2802c4-a4d2-4d8b-9148-e3be6c30e623}">
          <xlrd:rvb i="811"/>
        </ext>
      </extLst>
    </bk>
    <bk>
      <extLst>
        <ext uri="{3e2802c4-a4d2-4d8b-9148-e3be6c30e623}">
          <xlrd:rvb i="812"/>
        </ext>
      </extLst>
    </bk>
    <bk>
      <extLst>
        <ext uri="{3e2802c4-a4d2-4d8b-9148-e3be6c30e623}">
          <xlrd:rvb i="813"/>
        </ext>
      </extLst>
    </bk>
    <bk>
      <extLst>
        <ext uri="{3e2802c4-a4d2-4d8b-9148-e3be6c30e623}">
          <xlrd:rvb i="814"/>
        </ext>
      </extLst>
    </bk>
    <bk>
      <extLst>
        <ext uri="{3e2802c4-a4d2-4d8b-9148-e3be6c30e623}">
          <xlrd:rvb i="815"/>
        </ext>
      </extLst>
    </bk>
    <bk>
      <extLst>
        <ext uri="{3e2802c4-a4d2-4d8b-9148-e3be6c30e623}">
          <xlrd:rvb i="816"/>
        </ext>
      </extLst>
    </bk>
    <bk>
      <extLst>
        <ext uri="{3e2802c4-a4d2-4d8b-9148-e3be6c30e623}">
          <xlrd:rvb i="817"/>
        </ext>
      </extLst>
    </bk>
    <bk>
      <extLst>
        <ext uri="{3e2802c4-a4d2-4d8b-9148-e3be6c30e623}">
          <xlrd:rvb i="818"/>
        </ext>
      </extLst>
    </bk>
    <bk>
      <extLst>
        <ext uri="{3e2802c4-a4d2-4d8b-9148-e3be6c30e623}">
          <xlrd:rvb i="819"/>
        </ext>
      </extLst>
    </bk>
    <bk>
      <extLst>
        <ext uri="{3e2802c4-a4d2-4d8b-9148-e3be6c30e623}">
          <xlrd:rvb i="820"/>
        </ext>
      </extLst>
    </bk>
    <bk>
      <extLst>
        <ext uri="{3e2802c4-a4d2-4d8b-9148-e3be6c30e623}">
          <xlrd:rvb i="821"/>
        </ext>
      </extLst>
    </bk>
    <bk>
      <extLst>
        <ext uri="{3e2802c4-a4d2-4d8b-9148-e3be6c30e623}">
          <xlrd:rvb i="822"/>
        </ext>
      </extLst>
    </bk>
    <bk>
      <extLst>
        <ext uri="{3e2802c4-a4d2-4d8b-9148-e3be6c30e623}">
          <xlrd:rvb i="823"/>
        </ext>
      </extLst>
    </bk>
    <bk>
      <extLst>
        <ext uri="{3e2802c4-a4d2-4d8b-9148-e3be6c30e623}">
          <xlrd:rvb i="824"/>
        </ext>
      </extLst>
    </bk>
    <bk>
      <extLst>
        <ext uri="{3e2802c4-a4d2-4d8b-9148-e3be6c30e623}">
          <xlrd:rvb i="825"/>
        </ext>
      </extLst>
    </bk>
    <bk>
      <extLst>
        <ext uri="{3e2802c4-a4d2-4d8b-9148-e3be6c30e623}">
          <xlrd:rvb i="826"/>
        </ext>
      </extLst>
    </bk>
    <bk>
      <extLst>
        <ext uri="{3e2802c4-a4d2-4d8b-9148-e3be6c30e623}">
          <xlrd:rvb i="827"/>
        </ext>
      </extLst>
    </bk>
    <bk>
      <extLst>
        <ext uri="{3e2802c4-a4d2-4d8b-9148-e3be6c30e623}">
          <xlrd:rvb i="828"/>
        </ext>
      </extLst>
    </bk>
    <bk>
      <extLst>
        <ext uri="{3e2802c4-a4d2-4d8b-9148-e3be6c30e623}">
          <xlrd:rvb i="829"/>
        </ext>
      </extLst>
    </bk>
    <bk>
      <extLst>
        <ext uri="{3e2802c4-a4d2-4d8b-9148-e3be6c30e623}">
          <xlrd:rvb i="830"/>
        </ext>
      </extLst>
    </bk>
    <bk>
      <extLst>
        <ext uri="{3e2802c4-a4d2-4d8b-9148-e3be6c30e623}">
          <xlrd:rvb i="831"/>
        </ext>
      </extLst>
    </bk>
    <bk>
      <extLst>
        <ext uri="{3e2802c4-a4d2-4d8b-9148-e3be6c30e623}">
          <xlrd:rvb i="832"/>
        </ext>
      </extLst>
    </bk>
    <bk>
      <extLst>
        <ext uri="{3e2802c4-a4d2-4d8b-9148-e3be6c30e623}">
          <xlrd:rvb i="833"/>
        </ext>
      </extLst>
    </bk>
    <bk>
      <extLst>
        <ext uri="{3e2802c4-a4d2-4d8b-9148-e3be6c30e623}">
          <xlrd:rvb i="834"/>
        </ext>
      </extLst>
    </bk>
    <bk>
      <extLst>
        <ext uri="{3e2802c4-a4d2-4d8b-9148-e3be6c30e623}">
          <xlrd:rvb i="835"/>
        </ext>
      </extLst>
    </bk>
    <bk>
      <extLst>
        <ext uri="{3e2802c4-a4d2-4d8b-9148-e3be6c30e623}">
          <xlrd:rvb i="836"/>
        </ext>
      </extLst>
    </bk>
    <bk>
      <extLst>
        <ext uri="{3e2802c4-a4d2-4d8b-9148-e3be6c30e623}">
          <xlrd:rvb i="837"/>
        </ext>
      </extLst>
    </bk>
    <bk>
      <extLst>
        <ext uri="{3e2802c4-a4d2-4d8b-9148-e3be6c30e623}">
          <xlrd:rvb i="838"/>
        </ext>
      </extLst>
    </bk>
    <bk>
      <extLst>
        <ext uri="{3e2802c4-a4d2-4d8b-9148-e3be6c30e623}">
          <xlrd:rvb i="839"/>
        </ext>
      </extLst>
    </bk>
    <bk>
      <extLst>
        <ext uri="{3e2802c4-a4d2-4d8b-9148-e3be6c30e623}">
          <xlrd:rvb i="840"/>
        </ext>
      </extLst>
    </bk>
    <bk>
      <extLst>
        <ext uri="{3e2802c4-a4d2-4d8b-9148-e3be6c30e623}">
          <xlrd:rvb i="841"/>
        </ext>
      </extLst>
    </bk>
    <bk>
      <extLst>
        <ext uri="{3e2802c4-a4d2-4d8b-9148-e3be6c30e623}">
          <xlrd:rvb i="842"/>
        </ext>
      </extLst>
    </bk>
    <bk>
      <extLst>
        <ext uri="{3e2802c4-a4d2-4d8b-9148-e3be6c30e623}">
          <xlrd:rvb i="843"/>
        </ext>
      </extLst>
    </bk>
    <bk>
      <extLst>
        <ext uri="{3e2802c4-a4d2-4d8b-9148-e3be6c30e623}">
          <xlrd:rvb i="844"/>
        </ext>
      </extLst>
    </bk>
    <bk>
      <extLst>
        <ext uri="{3e2802c4-a4d2-4d8b-9148-e3be6c30e623}">
          <xlrd:rvb i="845"/>
        </ext>
      </extLst>
    </bk>
    <bk>
      <extLst>
        <ext uri="{3e2802c4-a4d2-4d8b-9148-e3be6c30e623}">
          <xlrd:rvb i="846"/>
        </ext>
      </extLst>
    </bk>
    <bk>
      <extLst>
        <ext uri="{3e2802c4-a4d2-4d8b-9148-e3be6c30e623}">
          <xlrd:rvb i="847"/>
        </ext>
      </extLst>
    </bk>
    <bk>
      <extLst>
        <ext uri="{3e2802c4-a4d2-4d8b-9148-e3be6c30e623}">
          <xlrd:rvb i="848"/>
        </ext>
      </extLst>
    </bk>
    <bk>
      <extLst>
        <ext uri="{3e2802c4-a4d2-4d8b-9148-e3be6c30e623}">
          <xlrd:rvb i="849"/>
        </ext>
      </extLst>
    </bk>
    <bk>
      <extLst>
        <ext uri="{3e2802c4-a4d2-4d8b-9148-e3be6c30e623}">
          <xlrd:rvb i="850"/>
        </ext>
      </extLst>
    </bk>
    <bk>
      <extLst>
        <ext uri="{3e2802c4-a4d2-4d8b-9148-e3be6c30e623}">
          <xlrd:rvb i="851"/>
        </ext>
      </extLst>
    </bk>
    <bk>
      <extLst>
        <ext uri="{3e2802c4-a4d2-4d8b-9148-e3be6c30e623}">
          <xlrd:rvb i="852"/>
        </ext>
      </extLst>
    </bk>
    <bk>
      <extLst>
        <ext uri="{3e2802c4-a4d2-4d8b-9148-e3be6c30e623}">
          <xlrd:rvb i="853"/>
        </ext>
      </extLst>
    </bk>
    <bk>
      <extLst>
        <ext uri="{3e2802c4-a4d2-4d8b-9148-e3be6c30e623}">
          <xlrd:rvb i="854"/>
        </ext>
      </extLst>
    </bk>
    <bk>
      <extLst>
        <ext uri="{3e2802c4-a4d2-4d8b-9148-e3be6c30e623}">
          <xlrd:rvb i="855"/>
        </ext>
      </extLst>
    </bk>
    <bk>
      <extLst>
        <ext uri="{3e2802c4-a4d2-4d8b-9148-e3be6c30e623}">
          <xlrd:rvb i="856"/>
        </ext>
      </extLst>
    </bk>
    <bk>
      <extLst>
        <ext uri="{3e2802c4-a4d2-4d8b-9148-e3be6c30e623}">
          <xlrd:rvb i="857"/>
        </ext>
      </extLst>
    </bk>
    <bk>
      <extLst>
        <ext uri="{3e2802c4-a4d2-4d8b-9148-e3be6c30e623}">
          <xlrd:rvb i="858"/>
        </ext>
      </extLst>
    </bk>
    <bk>
      <extLst>
        <ext uri="{3e2802c4-a4d2-4d8b-9148-e3be6c30e623}">
          <xlrd:rvb i="859"/>
        </ext>
      </extLst>
    </bk>
    <bk>
      <extLst>
        <ext uri="{3e2802c4-a4d2-4d8b-9148-e3be6c30e623}">
          <xlrd:rvb i="860"/>
        </ext>
      </extLst>
    </bk>
    <bk>
      <extLst>
        <ext uri="{3e2802c4-a4d2-4d8b-9148-e3be6c30e623}">
          <xlrd:rvb i="861"/>
        </ext>
      </extLst>
    </bk>
    <bk>
      <extLst>
        <ext uri="{3e2802c4-a4d2-4d8b-9148-e3be6c30e623}">
          <xlrd:rvb i="862"/>
        </ext>
      </extLst>
    </bk>
    <bk>
      <extLst>
        <ext uri="{3e2802c4-a4d2-4d8b-9148-e3be6c30e623}">
          <xlrd:rvb i="863"/>
        </ext>
      </extLst>
    </bk>
    <bk>
      <extLst>
        <ext uri="{3e2802c4-a4d2-4d8b-9148-e3be6c30e623}">
          <xlrd:rvb i="864"/>
        </ext>
      </extLst>
    </bk>
    <bk>
      <extLst>
        <ext uri="{3e2802c4-a4d2-4d8b-9148-e3be6c30e623}">
          <xlrd:rvb i="865"/>
        </ext>
      </extLst>
    </bk>
    <bk>
      <extLst>
        <ext uri="{3e2802c4-a4d2-4d8b-9148-e3be6c30e623}">
          <xlrd:rvb i="866"/>
        </ext>
      </extLst>
    </bk>
    <bk>
      <extLst>
        <ext uri="{3e2802c4-a4d2-4d8b-9148-e3be6c30e623}">
          <xlrd:rvb i="867"/>
        </ext>
      </extLst>
    </bk>
    <bk>
      <extLst>
        <ext uri="{3e2802c4-a4d2-4d8b-9148-e3be6c30e623}">
          <xlrd:rvb i="868"/>
        </ext>
      </extLst>
    </bk>
    <bk>
      <extLst>
        <ext uri="{3e2802c4-a4d2-4d8b-9148-e3be6c30e623}">
          <xlrd:rvb i="869"/>
        </ext>
      </extLst>
    </bk>
    <bk>
      <extLst>
        <ext uri="{3e2802c4-a4d2-4d8b-9148-e3be6c30e623}">
          <xlrd:rvb i="870"/>
        </ext>
      </extLst>
    </bk>
    <bk>
      <extLst>
        <ext uri="{3e2802c4-a4d2-4d8b-9148-e3be6c30e623}">
          <xlrd:rvb i="871"/>
        </ext>
      </extLst>
    </bk>
    <bk>
      <extLst>
        <ext uri="{3e2802c4-a4d2-4d8b-9148-e3be6c30e623}">
          <xlrd:rvb i="872"/>
        </ext>
      </extLst>
    </bk>
    <bk>
      <extLst>
        <ext uri="{3e2802c4-a4d2-4d8b-9148-e3be6c30e623}">
          <xlrd:rvb i="873"/>
        </ext>
      </extLst>
    </bk>
    <bk>
      <extLst>
        <ext uri="{3e2802c4-a4d2-4d8b-9148-e3be6c30e623}">
          <xlrd:rvb i="874"/>
        </ext>
      </extLst>
    </bk>
    <bk>
      <extLst>
        <ext uri="{3e2802c4-a4d2-4d8b-9148-e3be6c30e623}">
          <xlrd:rvb i="875"/>
        </ext>
      </extLst>
    </bk>
    <bk>
      <extLst>
        <ext uri="{3e2802c4-a4d2-4d8b-9148-e3be6c30e623}">
          <xlrd:rvb i="876"/>
        </ext>
      </extLst>
    </bk>
    <bk>
      <extLst>
        <ext uri="{3e2802c4-a4d2-4d8b-9148-e3be6c30e623}">
          <xlrd:rvb i="877"/>
        </ext>
      </extLst>
    </bk>
    <bk>
      <extLst>
        <ext uri="{3e2802c4-a4d2-4d8b-9148-e3be6c30e623}">
          <xlrd:rvb i="878"/>
        </ext>
      </extLst>
    </bk>
    <bk>
      <extLst>
        <ext uri="{3e2802c4-a4d2-4d8b-9148-e3be6c30e623}">
          <xlrd:rvb i="879"/>
        </ext>
      </extLst>
    </bk>
    <bk>
      <extLst>
        <ext uri="{3e2802c4-a4d2-4d8b-9148-e3be6c30e623}">
          <xlrd:rvb i="880"/>
        </ext>
      </extLst>
    </bk>
    <bk>
      <extLst>
        <ext uri="{3e2802c4-a4d2-4d8b-9148-e3be6c30e623}">
          <xlrd:rvb i="881"/>
        </ext>
      </extLst>
    </bk>
    <bk>
      <extLst>
        <ext uri="{3e2802c4-a4d2-4d8b-9148-e3be6c30e623}">
          <xlrd:rvb i="882"/>
        </ext>
      </extLst>
    </bk>
    <bk>
      <extLst>
        <ext uri="{3e2802c4-a4d2-4d8b-9148-e3be6c30e623}">
          <xlrd:rvb i="883"/>
        </ext>
      </extLst>
    </bk>
    <bk>
      <extLst>
        <ext uri="{3e2802c4-a4d2-4d8b-9148-e3be6c30e623}">
          <xlrd:rvb i="884"/>
        </ext>
      </extLst>
    </bk>
    <bk>
      <extLst>
        <ext uri="{3e2802c4-a4d2-4d8b-9148-e3be6c30e623}">
          <xlrd:rvb i="885"/>
        </ext>
      </extLst>
    </bk>
    <bk>
      <extLst>
        <ext uri="{3e2802c4-a4d2-4d8b-9148-e3be6c30e623}">
          <xlrd:rvb i="886"/>
        </ext>
      </extLst>
    </bk>
    <bk>
      <extLst>
        <ext uri="{3e2802c4-a4d2-4d8b-9148-e3be6c30e623}">
          <xlrd:rvb i="887"/>
        </ext>
      </extLst>
    </bk>
    <bk>
      <extLst>
        <ext uri="{3e2802c4-a4d2-4d8b-9148-e3be6c30e623}">
          <xlrd:rvb i="888"/>
        </ext>
      </extLst>
    </bk>
    <bk>
      <extLst>
        <ext uri="{3e2802c4-a4d2-4d8b-9148-e3be6c30e623}">
          <xlrd:rvb i="889"/>
        </ext>
      </extLst>
    </bk>
    <bk>
      <extLst>
        <ext uri="{3e2802c4-a4d2-4d8b-9148-e3be6c30e623}">
          <xlrd:rvb i="890"/>
        </ext>
      </extLst>
    </bk>
    <bk>
      <extLst>
        <ext uri="{3e2802c4-a4d2-4d8b-9148-e3be6c30e623}">
          <xlrd:rvb i="891"/>
        </ext>
      </extLst>
    </bk>
    <bk>
      <extLst>
        <ext uri="{3e2802c4-a4d2-4d8b-9148-e3be6c30e623}">
          <xlrd:rvb i="892"/>
        </ext>
      </extLst>
    </bk>
  </futureMetadata>
  <valueMetadata count="89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  <bk>
      <rc t="1" v="282"/>
    </bk>
    <bk>
      <rc t="1" v="283"/>
    </bk>
    <bk>
      <rc t="1" v="284"/>
    </bk>
    <bk>
      <rc t="1" v="285"/>
    </bk>
    <bk>
      <rc t="1" v="286"/>
    </bk>
    <bk>
      <rc t="1" v="287"/>
    </bk>
    <bk>
      <rc t="1" v="288"/>
    </bk>
    <bk>
      <rc t="1" v="289"/>
    </bk>
    <bk>
      <rc t="1" v="290"/>
    </bk>
    <bk>
      <rc t="1" v="291"/>
    </bk>
    <bk>
      <rc t="1" v="292"/>
    </bk>
    <bk>
      <rc t="1" v="293"/>
    </bk>
    <bk>
      <rc t="1" v="294"/>
    </bk>
    <bk>
      <rc t="1" v="295"/>
    </bk>
    <bk>
      <rc t="1" v="296"/>
    </bk>
    <bk>
      <rc t="1" v="297"/>
    </bk>
    <bk>
      <rc t="1" v="298"/>
    </bk>
    <bk>
      <rc t="1" v="299"/>
    </bk>
    <bk>
      <rc t="1" v="300"/>
    </bk>
    <bk>
      <rc t="1" v="301"/>
    </bk>
    <bk>
      <rc t="1" v="302"/>
    </bk>
    <bk>
      <rc t="1" v="303"/>
    </bk>
    <bk>
      <rc t="1" v="304"/>
    </bk>
    <bk>
      <rc t="1" v="305"/>
    </bk>
    <bk>
      <rc t="1" v="306"/>
    </bk>
    <bk>
      <rc t="1" v="307"/>
    </bk>
    <bk>
      <rc t="1" v="308"/>
    </bk>
    <bk>
      <rc t="1" v="309"/>
    </bk>
    <bk>
      <rc t="1" v="310"/>
    </bk>
    <bk>
      <rc t="1" v="311"/>
    </bk>
    <bk>
      <rc t="1" v="312"/>
    </bk>
    <bk>
      <rc t="1" v="313"/>
    </bk>
    <bk>
      <rc t="1" v="314"/>
    </bk>
    <bk>
      <rc t="1" v="315"/>
    </bk>
    <bk>
      <rc t="1" v="316"/>
    </bk>
    <bk>
      <rc t="1" v="317"/>
    </bk>
    <bk>
      <rc t="1" v="318"/>
    </bk>
    <bk>
      <rc t="1" v="319"/>
    </bk>
    <bk>
      <rc t="1" v="320"/>
    </bk>
    <bk>
      <rc t="1" v="321"/>
    </bk>
    <bk>
      <rc t="1" v="322"/>
    </bk>
    <bk>
      <rc t="1" v="323"/>
    </bk>
    <bk>
      <rc t="1" v="324"/>
    </bk>
    <bk>
      <rc t="1" v="325"/>
    </bk>
    <bk>
      <rc t="1" v="326"/>
    </bk>
    <bk>
      <rc t="1" v="327"/>
    </bk>
    <bk>
      <rc t="1" v="328"/>
    </bk>
    <bk>
      <rc t="1" v="329"/>
    </bk>
    <bk>
      <rc t="1" v="330"/>
    </bk>
    <bk>
      <rc t="1" v="331"/>
    </bk>
    <bk>
      <rc t="1" v="332"/>
    </bk>
    <bk>
      <rc t="1" v="333"/>
    </bk>
    <bk>
      <rc t="1" v="334"/>
    </bk>
    <bk>
      <rc t="1" v="335"/>
    </bk>
    <bk>
      <rc t="1" v="336"/>
    </bk>
    <bk>
      <rc t="1" v="337"/>
    </bk>
    <bk>
      <rc t="1" v="338"/>
    </bk>
    <bk>
      <rc t="1" v="339"/>
    </bk>
    <bk>
      <rc t="1" v="340"/>
    </bk>
    <bk>
      <rc t="1" v="341"/>
    </bk>
    <bk>
      <rc t="1" v="342"/>
    </bk>
    <bk>
      <rc t="1" v="343"/>
    </bk>
    <bk>
      <rc t="1" v="344"/>
    </bk>
    <bk>
      <rc t="1" v="345"/>
    </bk>
    <bk>
      <rc t="1" v="346"/>
    </bk>
    <bk>
      <rc t="1" v="347"/>
    </bk>
    <bk>
      <rc t="1" v="348"/>
    </bk>
    <bk>
      <rc t="1" v="349"/>
    </bk>
    <bk>
      <rc t="1" v="350"/>
    </bk>
    <bk>
      <rc t="1" v="351"/>
    </bk>
    <bk>
      <rc t="1" v="352"/>
    </bk>
    <bk>
      <rc t="1" v="353"/>
    </bk>
    <bk>
      <rc t="1" v="354"/>
    </bk>
    <bk>
      <rc t="1" v="355"/>
    </bk>
    <bk>
      <rc t="1" v="356"/>
    </bk>
    <bk>
      <rc t="1" v="357"/>
    </bk>
    <bk>
      <rc t="1" v="358"/>
    </bk>
    <bk>
      <rc t="1" v="359"/>
    </bk>
    <bk>
      <rc t="1" v="360"/>
    </bk>
    <bk>
      <rc t="1" v="361"/>
    </bk>
    <bk>
      <rc t="1" v="362"/>
    </bk>
    <bk>
      <rc t="1" v="363"/>
    </bk>
    <bk>
      <rc t="1" v="364"/>
    </bk>
    <bk>
      <rc t="1" v="365"/>
    </bk>
    <bk>
      <rc t="1" v="366"/>
    </bk>
    <bk>
      <rc t="1" v="367"/>
    </bk>
    <bk>
      <rc t="1" v="368"/>
    </bk>
    <bk>
      <rc t="1" v="369"/>
    </bk>
    <bk>
      <rc t="1" v="370"/>
    </bk>
    <bk>
      <rc t="1" v="371"/>
    </bk>
    <bk>
      <rc t="1" v="372"/>
    </bk>
    <bk>
      <rc t="1" v="373"/>
    </bk>
    <bk>
      <rc t="1" v="374"/>
    </bk>
    <bk>
      <rc t="1" v="375"/>
    </bk>
    <bk>
      <rc t="1" v="376"/>
    </bk>
    <bk>
      <rc t="1" v="377"/>
    </bk>
    <bk>
      <rc t="1" v="378"/>
    </bk>
    <bk>
      <rc t="1" v="379"/>
    </bk>
    <bk>
      <rc t="1" v="380"/>
    </bk>
    <bk>
      <rc t="1" v="381"/>
    </bk>
    <bk>
      <rc t="1" v="382"/>
    </bk>
    <bk>
      <rc t="1" v="383"/>
    </bk>
    <bk>
      <rc t="1" v="384"/>
    </bk>
    <bk>
      <rc t="1" v="385"/>
    </bk>
    <bk>
      <rc t="1" v="386"/>
    </bk>
    <bk>
      <rc t="1" v="387"/>
    </bk>
    <bk>
      <rc t="1" v="388"/>
    </bk>
    <bk>
      <rc t="1" v="389"/>
    </bk>
    <bk>
      <rc t="1" v="390"/>
    </bk>
    <bk>
      <rc t="1" v="391"/>
    </bk>
    <bk>
      <rc t="1" v="392"/>
    </bk>
    <bk>
      <rc t="1" v="393"/>
    </bk>
    <bk>
      <rc t="1" v="394"/>
    </bk>
    <bk>
      <rc t="1" v="395"/>
    </bk>
    <bk>
      <rc t="1" v="396"/>
    </bk>
    <bk>
      <rc t="1" v="397"/>
    </bk>
    <bk>
      <rc t="1" v="398"/>
    </bk>
    <bk>
      <rc t="1" v="399"/>
    </bk>
    <bk>
      <rc t="1" v="400"/>
    </bk>
    <bk>
      <rc t="1" v="401"/>
    </bk>
    <bk>
      <rc t="1" v="402"/>
    </bk>
    <bk>
      <rc t="1" v="403"/>
    </bk>
    <bk>
      <rc t="1" v="404"/>
    </bk>
    <bk>
      <rc t="1" v="405"/>
    </bk>
    <bk>
      <rc t="1" v="406"/>
    </bk>
    <bk>
      <rc t="1" v="407"/>
    </bk>
    <bk>
      <rc t="1" v="408"/>
    </bk>
    <bk>
      <rc t="1" v="409"/>
    </bk>
    <bk>
      <rc t="1" v="410"/>
    </bk>
    <bk>
      <rc t="1" v="411"/>
    </bk>
    <bk>
      <rc t="1" v="412"/>
    </bk>
    <bk>
      <rc t="1" v="413"/>
    </bk>
    <bk>
      <rc t="1" v="414"/>
    </bk>
    <bk>
      <rc t="1" v="415"/>
    </bk>
    <bk>
      <rc t="1" v="416"/>
    </bk>
    <bk>
      <rc t="1" v="417"/>
    </bk>
    <bk>
      <rc t="1" v="418"/>
    </bk>
    <bk>
      <rc t="1" v="419"/>
    </bk>
    <bk>
      <rc t="1" v="420"/>
    </bk>
    <bk>
      <rc t="1" v="421"/>
    </bk>
    <bk>
      <rc t="1" v="422"/>
    </bk>
    <bk>
      <rc t="1" v="423"/>
    </bk>
    <bk>
      <rc t="1" v="424"/>
    </bk>
    <bk>
      <rc t="1" v="425"/>
    </bk>
    <bk>
      <rc t="1" v="426"/>
    </bk>
    <bk>
      <rc t="1" v="427"/>
    </bk>
    <bk>
      <rc t="1" v="428"/>
    </bk>
    <bk>
      <rc t="1" v="429"/>
    </bk>
    <bk>
      <rc t="1" v="430"/>
    </bk>
    <bk>
      <rc t="1" v="431"/>
    </bk>
    <bk>
      <rc t="1" v="432"/>
    </bk>
    <bk>
      <rc t="1" v="433"/>
    </bk>
    <bk>
      <rc t="1" v="434"/>
    </bk>
    <bk>
      <rc t="1" v="435"/>
    </bk>
    <bk>
      <rc t="1" v="436"/>
    </bk>
    <bk>
      <rc t="1" v="437"/>
    </bk>
    <bk>
      <rc t="1" v="438"/>
    </bk>
    <bk>
      <rc t="1" v="439"/>
    </bk>
    <bk>
      <rc t="1" v="440"/>
    </bk>
    <bk>
      <rc t="1" v="441"/>
    </bk>
    <bk>
      <rc t="1" v="442"/>
    </bk>
    <bk>
      <rc t="1" v="443"/>
    </bk>
    <bk>
      <rc t="1" v="444"/>
    </bk>
    <bk>
      <rc t="1" v="445"/>
    </bk>
    <bk>
      <rc t="1" v="446"/>
    </bk>
    <bk>
      <rc t="1" v="447"/>
    </bk>
    <bk>
      <rc t="1" v="448"/>
    </bk>
    <bk>
      <rc t="1" v="449"/>
    </bk>
    <bk>
      <rc t="1" v="450"/>
    </bk>
    <bk>
      <rc t="1" v="451"/>
    </bk>
    <bk>
      <rc t="1" v="452"/>
    </bk>
    <bk>
      <rc t="1" v="453"/>
    </bk>
    <bk>
      <rc t="1" v="454"/>
    </bk>
    <bk>
      <rc t="1" v="455"/>
    </bk>
    <bk>
      <rc t="1" v="456"/>
    </bk>
    <bk>
      <rc t="1" v="457"/>
    </bk>
    <bk>
      <rc t="1" v="458"/>
    </bk>
    <bk>
      <rc t="1" v="459"/>
    </bk>
    <bk>
      <rc t="1" v="460"/>
    </bk>
    <bk>
      <rc t="1" v="461"/>
    </bk>
    <bk>
      <rc t="1" v="462"/>
    </bk>
    <bk>
      <rc t="1" v="463"/>
    </bk>
    <bk>
      <rc t="1" v="464"/>
    </bk>
    <bk>
      <rc t="1" v="465"/>
    </bk>
    <bk>
      <rc t="1" v="466"/>
    </bk>
    <bk>
      <rc t="1" v="467"/>
    </bk>
    <bk>
      <rc t="1" v="468"/>
    </bk>
    <bk>
      <rc t="1" v="469"/>
    </bk>
    <bk>
      <rc t="1" v="470"/>
    </bk>
    <bk>
      <rc t="1" v="471"/>
    </bk>
    <bk>
      <rc t="1" v="472"/>
    </bk>
    <bk>
      <rc t="1" v="473"/>
    </bk>
    <bk>
      <rc t="1" v="474"/>
    </bk>
    <bk>
      <rc t="1" v="475"/>
    </bk>
    <bk>
      <rc t="1" v="476"/>
    </bk>
    <bk>
      <rc t="1" v="477"/>
    </bk>
    <bk>
      <rc t="1" v="478"/>
    </bk>
    <bk>
      <rc t="1" v="479"/>
    </bk>
    <bk>
      <rc t="1" v="480"/>
    </bk>
    <bk>
      <rc t="1" v="481"/>
    </bk>
    <bk>
      <rc t="1" v="482"/>
    </bk>
    <bk>
      <rc t="1" v="483"/>
    </bk>
    <bk>
      <rc t="1" v="484"/>
    </bk>
    <bk>
      <rc t="1" v="485"/>
    </bk>
    <bk>
      <rc t="1" v="486"/>
    </bk>
    <bk>
      <rc t="1" v="487"/>
    </bk>
    <bk>
      <rc t="1" v="488"/>
    </bk>
    <bk>
      <rc t="1" v="489"/>
    </bk>
    <bk>
      <rc t="1" v="490"/>
    </bk>
    <bk>
      <rc t="1" v="491"/>
    </bk>
    <bk>
      <rc t="1" v="492"/>
    </bk>
    <bk>
      <rc t="1" v="493"/>
    </bk>
    <bk>
      <rc t="1" v="494"/>
    </bk>
    <bk>
      <rc t="1" v="495"/>
    </bk>
    <bk>
      <rc t="1" v="496"/>
    </bk>
    <bk>
      <rc t="1" v="497"/>
    </bk>
    <bk>
      <rc t="1" v="498"/>
    </bk>
    <bk>
      <rc t="1" v="499"/>
    </bk>
    <bk>
      <rc t="1" v="500"/>
    </bk>
    <bk>
      <rc t="1" v="501"/>
    </bk>
    <bk>
      <rc t="1" v="502"/>
    </bk>
    <bk>
      <rc t="1" v="503"/>
    </bk>
    <bk>
      <rc t="1" v="504"/>
    </bk>
    <bk>
      <rc t="1" v="505"/>
    </bk>
    <bk>
      <rc t="1" v="506"/>
    </bk>
    <bk>
      <rc t="1" v="507"/>
    </bk>
    <bk>
      <rc t="1" v="508"/>
    </bk>
    <bk>
      <rc t="1" v="509"/>
    </bk>
    <bk>
      <rc t="1" v="510"/>
    </bk>
    <bk>
      <rc t="1" v="511"/>
    </bk>
    <bk>
      <rc t="1" v="512"/>
    </bk>
    <bk>
      <rc t="1" v="513"/>
    </bk>
    <bk>
      <rc t="1" v="514"/>
    </bk>
    <bk>
      <rc t="1" v="515"/>
    </bk>
    <bk>
      <rc t="1" v="516"/>
    </bk>
    <bk>
      <rc t="1" v="517"/>
    </bk>
    <bk>
      <rc t="1" v="518"/>
    </bk>
    <bk>
      <rc t="1" v="519"/>
    </bk>
    <bk>
      <rc t="1" v="520"/>
    </bk>
    <bk>
      <rc t="1" v="521"/>
    </bk>
    <bk>
      <rc t="1" v="522"/>
    </bk>
    <bk>
      <rc t="1" v="523"/>
    </bk>
    <bk>
      <rc t="1" v="524"/>
    </bk>
    <bk>
      <rc t="1" v="525"/>
    </bk>
    <bk>
      <rc t="1" v="526"/>
    </bk>
    <bk>
      <rc t="1" v="527"/>
    </bk>
    <bk>
      <rc t="1" v="528"/>
    </bk>
    <bk>
      <rc t="1" v="529"/>
    </bk>
    <bk>
      <rc t="1" v="530"/>
    </bk>
    <bk>
      <rc t="1" v="531"/>
    </bk>
    <bk>
      <rc t="1" v="532"/>
    </bk>
    <bk>
      <rc t="1" v="533"/>
    </bk>
    <bk>
      <rc t="1" v="534"/>
    </bk>
    <bk>
      <rc t="1" v="535"/>
    </bk>
    <bk>
      <rc t="1" v="536"/>
    </bk>
    <bk>
      <rc t="1" v="537"/>
    </bk>
    <bk>
      <rc t="1" v="538"/>
    </bk>
    <bk>
      <rc t="1" v="539"/>
    </bk>
    <bk>
      <rc t="1" v="540"/>
    </bk>
    <bk>
      <rc t="1" v="541"/>
    </bk>
    <bk>
      <rc t="1" v="542"/>
    </bk>
    <bk>
      <rc t="1" v="543"/>
    </bk>
    <bk>
      <rc t="1" v="544"/>
    </bk>
    <bk>
      <rc t="1" v="545"/>
    </bk>
    <bk>
      <rc t="1" v="546"/>
    </bk>
    <bk>
      <rc t="1" v="547"/>
    </bk>
    <bk>
      <rc t="1" v="548"/>
    </bk>
    <bk>
      <rc t="1" v="549"/>
    </bk>
    <bk>
      <rc t="1" v="550"/>
    </bk>
    <bk>
      <rc t="1" v="551"/>
    </bk>
    <bk>
      <rc t="1" v="552"/>
    </bk>
    <bk>
      <rc t="1" v="553"/>
    </bk>
    <bk>
      <rc t="1" v="554"/>
    </bk>
    <bk>
      <rc t="1" v="555"/>
    </bk>
    <bk>
      <rc t="1" v="556"/>
    </bk>
    <bk>
      <rc t="1" v="557"/>
    </bk>
    <bk>
      <rc t="1" v="558"/>
    </bk>
    <bk>
      <rc t="1" v="559"/>
    </bk>
    <bk>
      <rc t="1" v="560"/>
    </bk>
    <bk>
      <rc t="1" v="561"/>
    </bk>
    <bk>
      <rc t="1" v="562"/>
    </bk>
    <bk>
      <rc t="1" v="563"/>
    </bk>
    <bk>
      <rc t="1" v="564"/>
    </bk>
    <bk>
      <rc t="1" v="565"/>
    </bk>
    <bk>
      <rc t="1" v="566"/>
    </bk>
    <bk>
      <rc t="1" v="567"/>
    </bk>
    <bk>
      <rc t="1" v="568"/>
    </bk>
    <bk>
      <rc t="1" v="569"/>
    </bk>
    <bk>
      <rc t="1" v="570"/>
    </bk>
    <bk>
      <rc t="1" v="571"/>
    </bk>
    <bk>
      <rc t="1" v="572"/>
    </bk>
    <bk>
      <rc t="1" v="573"/>
    </bk>
    <bk>
      <rc t="1" v="574"/>
    </bk>
    <bk>
      <rc t="1" v="575"/>
    </bk>
    <bk>
      <rc t="1" v="576"/>
    </bk>
    <bk>
      <rc t="1" v="577"/>
    </bk>
    <bk>
      <rc t="1" v="578"/>
    </bk>
    <bk>
      <rc t="1" v="579"/>
    </bk>
    <bk>
      <rc t="1" v="580"/>
    </bk>
    <bk>
      <rc t="1" v="581"/>
    </bk>
    <bk>
      <rc t="1" v="582"/>
    </bk>
    <bk>
      <rc t="1" v="583"/>
    </bk>
    <bk>
      <rc t="1" v="584"/>
    </bk>
    <bk>
      <rc t="1" v="585"/>
    </bk>
    <bk>
      <rc t="1" v="586"/>
    </bk>
    <bk>
      <rc t="1" v="587"/>
    </bk>
    <bk>
      <rc t="1" v="588"/>
    </bk>
    <bk>
      <rc t="1" v="589"/>
    </bk>
    <bk>
      <rc t="1" v="590"/>
    </bk>
    <bk>
      <rc t="1" v="591"/>
    </bk>
    <bk>
      <rc t="1" v="592"/>
    </bk>
    <bk>
      <rc t="1" v="593"/>
    </bk>
    <bk>
      <rc t="1" v="594"/>
    </bk>
    <bk>
      <rc t="1" v="595"/>
    </bk>
    <bk>
      <rc t="1" v="596"/>
    </bk>
    <bk>
      <rc t="1" v="597"/>
    </bk>
    <bk>
      <rc t="1" v="598"/>
    </bk>
    <bk>
      <rc t="1" v="599"/>
    </bk>
    <bk>
      <rc t="1" v="600"/>
    </bk>
    <bk>
      <rc t="1" v="601"/>
    </bk>
    <bk>
      <rc t="1" v="602"/>
    </bk>
    <bk>
      <rc t="1" v="603"/>
    </bk>
    <bk>
      <rc t="1" v="604"/>
    </bk>
    <bk>
      <rc t="1" v="605"/>
    </bk>
    <bk>
      <rc t="1" v="606"/>
    </bk>
    <bk>
      <rc t="1" v="607"/>
    </bk>
    <bk>
      <rc t="1" v="608"/>
    </bk>
    <bk>
      <rc t="1" v="609"/>
    </bk>
    <bk>
      <rc t="1" v="610"/>
    </bk>
    <bk>
      <rc t="1" v="611"/>
    </bk>
    <bk>
      <rc t="1" v="612"/>
    </bk>
    <bk>
      <rc t="1" v="613"/>
    </bk>
    <bk>
      <rc t="1" v="614"/>
    </bk>
    <bk>
      <rc t="1" v="615"/>
    </bk>
    <bk>
      <rc t="1" v="616"/>
    </bk>
    <bk>
      <rc t="1" v="617"/>
    </bk>
    <bk>
      <rc t="1" v="618"/>
    </bk>
    <bk>
      <rc t="1" v="619"/>
    </bk>
    <bk>
      <rc t="1" v="620"/>
    </bk>
    <bk>
      <rc t="1" v="621"/>
    </bk>
    <bk>
      <rc t="1" v="622"/>
    </bk>
    <bk>
      <rc t="1" v="623"/>
    </bk>
    <bk>
      <rc t="1" v="624"/>
    </bk>
    <bk>
      <rc t="1" v="625"/>
    </bk>
    <bk>
      <rc t="1" v="626"/>
    </bk>
    <bk>
      <rc t="1" v="627"/>
    </bk>
    <bk>
      <rc t="1" v="628"/>
    </bk>
    <bk>
      <rc t="1" v="629"/>
    </bk>
    <bk>
      <rc t="1" v="630"/>
    </bk>
    <bk>
      <rc t="1" v="631"/>
    </bk>
    <bk>
      <rc t="1" v="632"/>
    </bk>
    <bk>
      <rc t="1" v="633"/>
    </bk>
    <bk>
      <rc t="1" v="634"/>
    </bk>
    <bk>
      <rc t="1" v="635"/>
    </bk>
    <bk>
      <rc t="1" v="636"/>
    </bk>
    <bk>
      <rc t="1" v="637"/>
    </bk>
    <bk>
      <rc t="1" v="638"/>
    </bk>
    <bk>
      <rc t="1" v="639"/>
    </bk>
    <bk>
      <rc t="1" v="640"/>
    </bk>
    <bk>
      <rc t="1" v="641"/>
    </bk>
    <bk>
      <rc t="1" v="642"/>
    </bk>
    <bk>
      <rc t="1" v="643"/>
    </bk>
    <bk>
      <rc t="1" v="644"/>
    </bk>
    <bk>
      <rc t="1" v="645"/>
    </bk>
    <bk>
      <rc t="1" v="646"/>
    </bk>
    <bk>
      <rc t="1" v="647"/>
    </bk>
    <bk>
      <rc t="1" v="648"/>
    </bk>
    <bk>
      <rc t="1" v="649"/>
    </bk>
    <bk>
      <rc t="1" v="650"/>
    </bk>
    <bk>
      <rc t="1" v="651"/>
    </bk>
    <bk>
      <rc t="1" v="652"/>
    </bk>
    <bk>
      <rc t="1" v="653"/>
    </bk>
    <bk>
      <rc t="1" v="654"/>
    </bk>
    <bk>
      <rc t="1" v="655"/>
    </bk>
    <bk>
      <rc t="1" v="656"/>
    </bk>
    <bk>
      <rc t="1" v="657"/>
    </bk>
    <bk>
      <rc t="1" v="658"/>
    </bk>
    <bk>
      <rc t="1" v="659"/>
    </bk>
    <bk>
      <rc t="1" v="660"/>
    </bk>
    <bk>
      <rc t="1" v="661"/>
    </bk>
    <bk>
      <rc t="1" v="662"/>
    </bk>
    <bk>
      <rc t="1" v="663"/>
    </bk>
    <bk>
      <rc t="1" v="664"/>
    </bk>
    <bk>
      <rc t="1" v="665"/>
    </bk>
    <bk>
      <rc t="1" v="666"/>
    </bk>
    <bk>
      <rc t="1" v="667"/>
    </bk>
    <bk>
      <rc t="1" v="668"/>
    </bk>
    <bk>
      <rc t="1" v="669"/>
    </bk>
    <bk>
      <rc t="1" v="670"/>
    </bk>
    <bk>
      <rc t="1" v="671"/>
    </bk>
    <bk>
      <rc t="1" v="672"/>
    </bk>
    <bk>
      <rc t="1" v="673"/>
    </bk>
    <bk>
      <rc t="1" v="674"/>
    </bk>
    <bk>
      <rc t="1" v="675"/>
    </bk>
    <bk>
      <rc t="1" v="676"/>
    </bk>
    <bk>
      <rc t="1" v="677"/>
    </bk>
    <bk>
      <rc t="1" v="678"/>
    </bk>
    <bk>
      <rc t="1" v="679"/>
    </bk>
    <bk>
      <rc t="1" v="680"/>
    </bk>
    <bk>
      <rc t="1" v="681"/>
    </bk>
    <bk>
      <rc t="1" v="682"/>
    </bk>
    <bk>
      <rc t="1" v="683"/>
    </bk>
    <bk>
      <rc t="1" v="684"/>
    </bk>
    <bk>
      <rc t="1" v="685"/>
    </bk>
    <bk>
      <rc t="1" v="686"/>
    </bk>
    <bk>
      <rc t="1" v="687"/>
    </bk>
    <bk>
      <rc t="1" v="688"/>
    </bk>
    <bk>
      <rc t="1" v="689"/>
    </bk>
    <bk>
      <rc t="1" v="690"/>
    </bk>
    <bk>
      <rc t="1" v="691"/>
    </bk>
    <bk>
      <rc t="1" v="692"/>
    </bk>
    <bk>
      <rc t="1" v="693"/>
    </bk>
    <bk>
      <rc t="1" v="694"/>
    </bk>
    <bk>
      <rc t="1" v="695"/>
    </bk>
    <bk>
      <rc t="1" v="696"/>
    </bk>
    <bk>
      <rc t="1" v="697"/>
    </bk>
    <bk>
      <rc t="1" v="698"/>
    </bk>
    <bk>
      <rc t="1" v="699"/>
    </bk>
    <bk>
      <rc t="1" v="700"/>
    </bk>
    <bk>
      <rc t="1" v="701"/>
    </bk>
    <bk>
      <rc t="1" v="702"/>
    </bk>
    <bk>
      <rc t="1" v="703"/>
    </bk>
    <bk>
      <rc t="1" v="704"/>
    </bk>
    <bk>
      <rc t="1" v="705"/>
    </bk>
    <bk>
      <rc t="1" v="706"/>
    </bk>
    <bk>
      <rc t="1" v="707"/>
    </bk>
    <bk>
      <rc t="1" v="708"/>
    </bk>
    <bk>
      <rc t="1" v="709"/>
    </bk>
    <bk>
      <rc t="1" v="710"/>
    </bk>
    <bk>
      <rc t="1" v="711"/>
    </bk>
    <bk>
      <rc t="1" v="712"/>
    </bk>
    <bk>
      <rc t="1" v="713"/>
    </bk>
    <bk>
      <rc t="1" v="714"/>
    </bk>
    <bk>
      <rc t="1" v="715"/>
    </bk>
    <bk>
      <rc t="1" v="716"/>
    </bk>
    <bk>
      <rc t="1" v="717"/>
    </bk>
    <bk>
      <rc t="1" v="718"/>
    </bk>
    <bk>
      <rc t="1" v="719"/>
    </bk>
    <bk>
      <rc t="1" v="720"/>
    </bk>
    <bk>
      <rc t="1" v="721"/>
    </bk>
    <bk>
      <rc t="1" v="722"/>
    </bk>
    <bk>
      <rc t="1" v="723"/>
    </bk>
    <bk>
      <rc t="1" v="724"/>
    </bk>
    <bk>
      <rc t="1" v="725"/>
    </bk>
    <bk>
      <rc t="1" v="726"/>
    </bk>
    <bk>
      <rc t="1" v="727"/>
    </bk>
    <bk>
      <rc t="1" v="728"/>
    </bk>
    <bk>
      <rc t="1" v="729"/>
    </bk>
    <bk>
      <rc t="1" v="730"/>
    </bk>
    <bk>
      <rc t="1" v="731"/>
    </bk>
    <bk>
      <rc t="1" v="732"/>
    </bk>
    <bk>
      <rc t="1" v="733"/>
    </bk>
    <bk>
      <rc t="1" v="734"/>
    </bk>
    <bk>
      <rc t="1" v="735"/>
    </bk>
    <bk>
      <rc t="1" v="736"/>
    </bk>
    <bk>
      <rc t="1" v="737"/>
    </bk>
    <bk>
      <rc t="1" v="738"/>
    </bk>
    <bk>
      <rc t="1" v="739"/>
    </bk>
    <bk>
      <rc t="1" v="740"/>
    </bk>
    <bk>
      <rc t="1" v="741"/>
    </bk>
    <bk>
      <rc t="1" v="742"/>
    </bk>
    <bk>
      <rc t="1" v="743"/>
    </bk>
    <bk>
      <rc t="1" v="744"/>
    </bk>
    <bk>
      <rc t="1" v="745"/>
    </bk>
    <bk>
      <rc t="1" v="746"/>
    </bk>
    <bk>
      <rc t="1" v="747"/>
    </bk>
    <bk>
      <rc t="1" v="748"/>
    </bk>
    <bk>
      <rc t="1" v="749"/>
    </bk>
    <bk>
      <rc t="1" v="750"/>
    </bk>
    <bk>
      <rc t="1" v="751"/>
    </bk>
    <bk>
      <rc t="1" v="752"/>
    </bk>
    <bk>
      <rc t="1" v="753"/>
    </bk>
    <bk>
      <rc t="1" v="754"/>
    </bk>
    <bk>
      <rc t="1" v="755"/>
    </bk>
    <bk>
      <rc t="1" v="756"/>
    </bk>
    <bk>
      <rc t="1" v="757"/>
    </bk>
    <bk>
      <rc t="1" v="758"/>
    </bk>
    <bk>
      <rc t="1" v="759"/>
    </bk>
    <bk>
      <rc t="1" v="760"/>
    </bk>
    <bk>
      <rc t="1" v="761"/>
    </bk>
    <bk>
      <rc t="1" v="762"/>
    </bk>
    <bk>
      <rc t="1" v="763"/>
    </bk>
    <bk>
      <rc t="1" v="764"/>
    </bk>
    <bk>
      <rc t="1" v="765"/>
    </bk>
    <bk>
      <rc t="1" v="766"/>
    </bk>
    <bk>
      <rc t="1" v="767"/>
    </bk>
    <bk>
      <rc t="1" v="768"/>
    </bk>
    <bk>
      <rc t="1" v="769"/>
    </bk>
    <bk>
      <rc t="1" v="770"/>
    </bk>
    <bk>
      <rc t="1" v="771"/>
    </bk>
    <bk>
      <rc t="1" v="772"/>
    </bk>
    <bk>
      <rc t="1" v="773"/>
    </bk>
    <bk>
      <rc t="1" v="774"/>
    </bk>
    <bk>
      <rc t="1" v="775"/>
    </bk>
    <bk>
      <rc t="1" v="776"/>
    </bk>
    <bk>
      <rc t="1" v="777"/>
    </bk>
    <bk>
      <rc t="1" v="778"/>
    </bk>
    <bk>
      <rc t="1" v="779"/>
    </bk>
    <bk>
      <rc t="1" v="780"/>
    </bk>
    <bk>
      <rc t="1" v="781"/>
    </bk>
    <bk>
      <rc t="1" v="782"/>
    </bk>
    <bk>
      <rc t="1" v="783"/>
    </bk>
    <bk>
      <rc t="1" v="784"/>
    </bk>
    <bk>
      <rc t="1" v="785"/>
    </bk>
    <bk>
      <rc t="1" v="786"/>
    </bk>
    <bk>
      <rc t="1" v="787"/>
    </bk>
    <bk>
      <rc t="1" v="788"/>
    </bk>
    <bk>
      <rc t="1" v="789"/>
    </bk>
    <bk>
      <rc t="1" v="790"/>
    </bk>
    <bk>
      <rc t="1" v="791"/>
    </bk>
    <bk>
      <rc t="1" v="792"/>
    </bk>
    <bk>
      <rc t="1" v="793"/>
    </bk>
    <bk>
      <rc t="1" v="794"/>
    </bk>
    <bk>
      <rc t="1" v="795"/>
    </bk>
    <bk>
      <rc t="1" v="796"/>
    </bk>
    <bk>
      <rc t="1" v="797"/>
    </bk>
    <bk>
      <rc t="1" v="798"/>
    </bk>
    <bk>
      <rc t="1" v="799"/>
    </bk>
    <bk>
      <rc t="1" v="800"/>
    </bk>
    <bk>
      <rc t="1" v="801"/>
    </bk>
    <bk>
      <rc t="1" v="802"/>
    </bk>
    <bk>
      <rc t="1" v="803"/>
    </bk>
    <bk>
      <rc t="1" v="804"/>
    </bk>
    <bk>
      <rc t="1" v="805"/>
    </bk>
    <bk>
      <rc t="1" v="806"/>
    </bk>
    <bk>
      <rc t="1" v="807"/>
    </bk>
    <bk>
      <rc t="1" v="808"/>
    </bk>
    <bk>
      <rc t="1" v="809"/>
    </bk>
    <bk>
      <rc t="1" v="810"/>
    </bk>
    <bk>
      <rc t="1" v="811"/>
    </bk>
    <bk>
      <rc t="1" v="812"/>
    </bk>
    <bk>
      <rc t="1" v="813"/>
    </bk>
    <bk>
      <rc t="1" v="814"/>
    </bk>
    <bk>
      <rc t="1" v="815"/>
    </bk>
    <bk>
      <rc t="1" v="816"/>
    </bk>
    <bk>
      <rc t="1" v="817"/>
    </bk>
    <bk>
      <rc t="1" v="818"/>
    </bk>
    <bk>
      <rc t="1" v="819"/>
    </bk>
    <bk>
      <rc t="1" v="820"/>
    </bk>
    <bk>
      <rc t="1" v="821"/>
    </bk>
    <bk>
      <rc t="1" v="822"/>
    </bk>
    <bk>
      <rc t="1" v="823"/>
    </bk>
    <bk>
      <rc t="1" v="824"/>
    </bk>
    <bk>
      <rc t="1" v="825"/>
    </bk>
    <bk>
      <rc t="1" v="826"/>
    </bk>
    <bk>
      <rc t="1" v="827"/>
    </bk>
    <bk>
      <rc t="1" v="828"/>
    </bk>
    <bk>
      <rc t="1" v="829"/>
    </bk>
    <bk>
      <rc t="1" v="830"/>
    </bk>
    <bk>
      <rc t="1" v="831"/>
    </bk>
    <bk>
      <rc t="1" v="832"/>
    </bk>
    <bk>
      <rc t="1" v="833"/>
    </bk>
    <bk>
      <rc t="1" v="834"/>
    </bk>
    <bk>
      <rc t="1" v="835"/>
    </bk>
    <bk>
      <rc t="1" v="836"/>
    </bk>
    <bk>
      <rc t="1" v="837"/>
    </bk>
    <bk>
      <rc t="1" v="838"/>
    </bk>
    <bk>
      <rc t="1" v="839"/>
    </bk>
    <bk>
      <rc t="1" v="840"/>
    </bk>
    <bk>
      <rc t="1" v="841"/>
    </bk>
    <bk>
      <rc t="1" v="842"/>
    </bk>
    <bk>
      <rc t="1" v="843"/>
    </bk>
    <bk>
      <rc t="1" v="844"/>
    </bk>
    <bk>
      <rc t="1" v="845"/>
    </bk>
    <bk>
      <rc t="1" v="846"/>
    </bk>
    <bk>
      <rc t="1" v="847"/>
    </bk>
    <bk>
      <rc t="1" v="848"/>
    </bk>
    <bk>
      <rc t="1" v="849"/>
    </bk>
    <bk>
      <rc t="1" v="850"/>
    </bk>
    <bk>
      <rc t="1" v="851"/>
    </bk>
    <bk>
      <rc t="1" v="852"/>
    </bk>
    <bk>
      <rc t="1" v="853"/>
    </bk>
    <bk>
      <rc t="1" v="854"/>
    </bk>
    <bk>
      <rc t="1" v="855"/>
    </bk>
    <bk>
      <rc t="1" v="856"/>
    </bk>
    <bk>
      <rc t="1" v="857"/>
    </bk>
    <bk>
      <rc t="1" v="858"/>
    </bk>
    <bk>
      <rc t="1" v="859"/>
    </bk>
    <bk>
      <rc t="1" v="860"/>
    </bk>
    <bk>
      <rc t="1" v="861"/>
    </bk>
    <bk>
      <rc t="1" v="862"/>
    </bk>
    <bk>
      <rc t="1" v="863"/>
    </bk>
    <bk>
      <rc t="1" v="864"/>
    </bk>
    <bk>
      <rc t="1" v="865"/>
    </bk>
    <bk>
      <rc t="1" v="866"/>
    </bk>
    <bk>
      <rc t="1" v="867"/>
    </bk>
    <bk>
      <rc t="1" v="868"/>
    </bk>
    <bk>
      <rc t="1" v="869"/>
    </bk>
    <bk>
      <rc t="1" v="870"/>
    </bk>
    <bk>
      <rc t="1" v="871"/>
    </bk>
    <bk>
      <rc t="1" v="872"/>
    </bk>
    <bk>
      <rc t="1" v="873"/>
    </bk>
    <bk>
      <rc t="1" v="874"/>
    </bk>
    <bk>
      <rc t="1" v="875"/>
    </bk>
    <bk>
      <rc t="1" v="876"/>
    </bk>
    <bk>
      <rc t="1" v="877"/>
    </bk>
    <bk>
      <rc t="1" v="878"/>
    </bk>
    <bk>
      <rc t="1" v="879"/>
    </bk>
    <bk>
      <rc t="1" v="880"/>
    </bk>
    <bk>
      <rc t="1" v="881"/>
    </bk>
    <bk>
      <rc t="1" v="882"/>
    </bk>
    <bk>
      <rc t="1" v="883"/>
    </bk>
    <bk>
      <rc t="1" v="884"/>
    </bk>
    <bk>
      <rc t="1" v="885"/>
    </bk>
    <bk>
      <rc t="1" v="886"/>
    </bk>
    <bk>
      <rc t="1" v="887"/>
    </bk>
    <bk>
      <rc t="1" v="888"/>
    </bk>
    <bk>
      <rc t="1" v="889"/>
    </bk>
    <bk>
      <rc t="1" v="890"/>
    </bk>
    <bk>
      <rc t="1" v="891"/>
    </bk>
    <bk>
      <rc t="1" v="892"/>
    </bk>
  </valueMetadata>
</metadata>
</file>

<file path=xl/sharedStrings.xml><?xml version="1.0" encoding="utf-8"?>
<sst xmlns="http://schemas.openxmlformats.org/spreadsheetml/2006/main" count="1473" uniqueCount="870">
  <si>
    <t>World Boss</t>
  </si>
  <si>
    <t>boss1</t>
  </si>
  <si>
    <t>Book Region</t>
  </si>
  <si>
    <t>natlan</t>
  </si>
  <si>
    <t>Weekly Boss</t>
  </si>
  <si>
    <t>newboss</t>
  </si>
  <si>
    <t>Enter values on green cells only; the rest are automated.</t>
  </si>
  <si>
    <t>Released Version</t>
  </si>
  <si>
    <t>Book Name 1</t>
  </si>
  <si>
    <t>b1</t>
  </si>
  <si>
    <t>Weekly Boss Material 1</t>
  </si>
  <si>
    <t>mat1</t>
  </si>
  <si>
    <t>Book Name 2</t>
  </si>
  <si>
    <t>b2</t>
  </si>
  <si>
    <t>Weekly Boss Material 2</t>
  </si>
  <si>
    <t>mat2</t>
  </si>
  <si>
    <t>Book Name 3</t>
  </si>
  <si>
    <t>b3</t>
  </si>
  <si>
    <t>Weekly Boss Material 3</t>
  </si>
  <si>
    <t>mat3</t>
  </si>
  <si>
    <t>Ascension Flower</t>
  </si>
  <si>
    <t>newflower</t>
  </si>
  <si>
    <t>Ascension Mob</t>
  </si>
  <si>
    <t>asdfasdf</t>
  </si>
  <si>
    <t>Name</t>
  </si>
  <si>
    <t>Sethos</t>
  </si>
  <si>
    <t># enter character name</t>
  </si>
  <si>
    <t>Ascension Mob Mats 1*</t>
  </si>
  <si>
    <t>asdfa</t>
  </si>
  <si>
    <t>Element</t>
  </si>
  <si>
    <t># select from dropdown menu</t>
  </si>
  <si>
    <t>Ascension Mob Mats 2*</t>
  </si>
  <si>
    <t># enter the version of the game when character was released</t>
  </si>
  <si>
    <t>Ascension Mob Mats 3*</t>
  </si>
  <si>
    <t>asdfdasfsd</t>
  </si>
  <si>
    <t>Solitary Suanni</t>
  </si>
  <si>
    <t>Talent Book</t>
  </si>
  <si>
    <t>Praxis</t>
  </si>
  <si>
    <t>[Scaramouche] Shouki no Kami</t>
  </si>
  <si>
    <t>Weekly Boss Mats</t>
  </si>
  <si>
    <t>Daka's Bell</t>
  </si>
  <si>
    <t>Trishiraite</t>
  </si>
  <si>
    <t>Ascension Stone</t>
  </si>
  <si>
    <t># value will show up after typing "element"</t>
  </si>
  <si>
    <t>The Eremites</t>
  </si>
  <si>
    <t># after filling up the form correctly,</t>
  </si>
  <si>
    <t xml:space="preserve">   click "Add New Character" button.</t>
  </si>
  <si>
    <t xml:space="preserve">   a new row will be created at the </t>
  </si>
  <si>
    <t xml:space="preserve">   bottom of "Summary" sheet.</t>
  </si>
  <si>
    <t>Levels</t>
  </si>
  <si>
    <t>Mora</t>
  </si>
  <si>
    <t>HerosWits</t>
  </si>
  <si>
    <t>LocalSpecialties</t>
  </si>
  <si>
    <t>Silver</t>
  </si>
  <si>
    <t>Fragment</t>
  </si>
  <si>
    <t>Chunk</t>
  </si>
  <si>
    <t>Gemstone</t>
  </si>
  <si>
    <t>1* Mats</t>
  </si>
  <si>
    <t>2* Mats</t>
  </si>
  <si>
    <t>3* Mats</t>
  </si>
  <si>
    <t>Boss Mats</t>
  </si>
  <si>
    <t>Talent Level</t>
  </si>
  <si>
    <t>2* Books</t>
  </si>
  <si>
    <t>3* Books</t>
  </si>
  <si>
    <t>4* Books</t>
  </si>
  <si>
    <t>Crown</t>
  </si>
  <si>
    <t>Experience</t>
  </si>
  <si>
    <t>Monster Materials</t>
  </si>
  <si>
    <t>Talent Books</t>
  </si>
  <si>
    <t>Gems</t>
  </si>
  <si>
    <t>Misc.</t>
  </si>
  <si>
    <t>Billets</t>
  </si>
  <si>
    <t>Elements</t>
  </si>
  <si>
    <t>Weapons</t>
  </si>
  <si>
    <t>Icon</t>
  </si>
  <si>
    <t>Weapon Type</t>
  </si>
  <si>
    <t>TalentBook</t>
  </si>
  <si>
    <t>Monster Mats</t>
  </si>
  <si>
    <t>Boss Name</t>
  </si>
  <si>
    <t>Mob Name</t>
  </si>
  <si>
    <t>HerosWit</t>
  </si>
  <si>
    <t>Albedo</t>
  </si>
  <si>
    <t>Anemo Hypostases</t>
  </si>
  <si>
    <t>HurricaneSeed</t>
  </si>
  <si>
    <t>[Dvalin] Stormterror</t>
  </si>
  <si>
    <t>DvalinsPlume</t>
  </si>
  <si>
    <t>Hilichurl</t>
  </si>
  <si>
    <t>DamagedMask</t>
  </si>
  <si>
    <t>TeachingsofBallad</t>
  </si>
  <si>
    <t>AmakumoFruit</t>
  </si>
  <si>
    <t>sword</t>
  </si>
  <si>
    <t>anemo</t>
  </si>
  <si>
    <t>Absolution</t>
  </si>
  <si>
    <t>TileofDecarabiansTower</t>
  </si>
  <si>
    <t>MysticEnhancementOre</t>
  </si>
  <si>
    <t>Alhaitham</t>
  </si>
  <si>
    <t>Cryo Regisvines</t>
  </si>
  <si>
    <t>HoarfrostCore</t>
  </si>
  <si>
    <t>DvalinsClaw</t>
  </si>
  <si>
    <t>StainedMask</t>
  </si>
  <si>
    <t>GuidetoBallad</t>
  </si>
  <si>
    <t>BerylConch</t>
  </si>
  <si>
    <t>CrownofInsight</t>
  </si>
  <si>
    <t>claymore</t>
  </si>
  <si>
    <t>geo</t>
  </si>
  <si>
    <t>Akuoumaru</t>
  </si>
  <si>
    <t>DebrisofDecarabiansCity</t>
  </si>
  <si>
    <t>FineEnhancementOre</t>
  </si>
  <si>
    <t>Bennett</t>
  </si>
  <si>
    <t>Electro Hypostases</t>
  </si>
  <si>
    <t>LightningPrism</t>
  </si>
  <si>
    <t>DvalinsSigh</t>
  </si>
  <si>
    <t>OminousMask</t>
  </si>
  <si>
    <t>PhilosophiesofBallad</t>
  </si>
  <si>
    <t>CallaLily</t>
  </si>
  <si>
    <t>resin</t>
  </si>
  <si>
    <t>polearm</t>
  </si>
  <si>
    <t>electro</t>
  </si>
  <si>
    <t>AlleyHunter</t>
  </si>
  <si>
    <t>FragmentofDecarabiansEpic</t>
  </si>
  <si>
    <t>EnhancementOre</t>
  </si>
  <si>
    <t>Chiori</t>
  </si>
  <si>
    <t>Geo Hypostases</t>
  </si>
  <si>
    <t>BasaltPillar</t>
  </si>
  <si>
    <t>[Boreas] Wolf of the North</t>
  </si>
  <si>
    <t>TailofBoreas</t>
  </si>
  <si>
    <t>Hilichurl Shooter</t>
  </si>
  <si>
    <t>FirmArrowhead</t>
  </si>
  <si>
    <t>TeachingsofResistance</t>
  </si>
  <si>
    <t>Cecilia</t>
  </si>
  <si>
    <t>characters</t>
  </si>
  <si>
    <t>bow</t>
  </si>
  <si>
    <t>dendro</t>
  </si>
  <si>
    <t>AmenomaKageuchi</t>
  </si>
  <si>
    <t>ScatteredPieceofDecarabiansDream</t>
  </si>
  <si>
    <t>Clorinde</t>
  </si>
  <si>
    <t>Oceanid</t>
  </si>
  <si>
    <t>CleansingHeart</t>
  </si>
  <si>
    <t>SpiritLocketofBoreas</t>
  </si>
  <si>
    <t>SharpArrowhead</t>
  </si>
  <si>
    <t>GuidetoResistance</t>
  </si>
  <si>
    <t>ClearwaterJade</t>
  </si>
  <si>
    <t>inventory</t>
  </si>
  <si>
    <t>catalyst</t>
  </si>
  <si>
    <t>hydro</t>
  </si>
  <si>
    <t>AmosBow</t>
  </si>
  <si>
    <t>BorealWolfsMilkTooth</t>
  </si>
  <si>
    <t>Furina</t>
  </si>
  <si>
    <t>Pyro Regisvines</t>
  </si>
  <si>
    <t>EverflameSeed</t>
  </si>
  <si>
    <t>RingofBoreas</t>
  </si>
  <si>
    <t>WeatheredArrowhead</t>
  </si>
  <si>
    <t>PhilosophiesofResistance</t>
  </si>
  <si>
    <t>CorLapis</t>
  </si>
  <si>
    <t>options</t>
  </si>
  <si>
    <t>pyro</t>
  </si>
  <si>
    <t>AquaSimulacra</t>
  </si>
  <si>
    <t>BorealWolfsCrackedTooth</t>
  </si>
  <si>
    <t>Jean</t>
  </si>
  <si>
    <t>Primo Geovishaps</t>
  </si>
  <si>
    <t>JuvenileJade</t>
  </si>
  <si>
    <t>[Childe] Golden House</t>
  </si>
  <si>
    <t>ShardofaFoulLegacy</t>
  </si>
  <si>
    <t>Samachurl</t>
  </si>
  <si>
    <t>DiviningScroll</t>
  </si>
  <si>
    <t>TeachingsofFreedom</t>
  </si>
  <si>
    <t>CrystalMarrow</t>
  </si>
  <si>
    <t>weapons</t>
  </si>
  <si>
    <t>cryo</t>
  </si>
  <si>
    <t>AquilaFavonia</t>
  </si>
  <si>
    <t>BorealWolfsBrokenFang</t>
  </si>
  <si>
    <t>KaedeharaKazuha</t>
  </si>
  <si>
    <t>Cryo Hypostases</t>
  </si>
  <si>
    <t>CrystallineBloom</t>
  </si>
  <si>
    <t>ShadowoftheWarrior</t>
  </si>
  <si>
    <t>SealedScroll</t>
  </si>
  <si>
    <t>GuidetoFreedom</t>
  </si>
  <si>
    <t>DandelionSeed</t>
  </si>
  <si>
    <t>AThousandFloatingDreams</t>
  </si>
  <si>
    <t>BorealWolfsNostalgia</t>
  </si>
  <si>
    <t>Kaeya</t>
  </si>
  <si>
    <t>Maguu Kenki</t>
  </si>
  <si>
    <t>MarionetteCore</t>
  </si>
  <si>
    <t>TuskofMonocerosCaeli</t>
  </si>
  <si>
    <t>ForbiddenCurseScroll</t>
  </si>
  <si>
    <t>PhilosophiesofFreedom</t>
  </si>
  <si>
    <t>Dendrobium</t>
  </si>
  <si>
    <t>BalladoftheBoundlessBlue</t>
  </si>
  <si>
    <t>FettersoftheDandelionGladiator</t>
  </si>
  <si>
    <t>KamisatoAyaka</t>
  </si>
  <si>
    <t>Perpetual Mecha. Arrays</t>
  </si>
  <si>
    <t>PerpetualHeart</t>
  </si>
  <si>
    <t>Azhdaha</t>
  </si>
  <si>
    <t>DragonLordsCrown</t>
  </si>
  <si>
    <t>Slime</t>
  </si>
  <si>
    <t>SlimeCondensate</t>
  </si>
  <si>
    <t>TeachingsofGold</t>
  </si>
  <si>
    <t>FluorescentFungus</t>
  </si>
  <si>
    <t>BalladoftheFjords</t>
  </si>
  <si>
    <t>ChainsoftheDandelionGladiator</t>
  </si>
  <si>
    <t>KamisatoAyato</t>
  </si>
  <si>
    <t>Pyro Hypostases</t>
  </si>
  <si>
    <t>SmolderingPearl</t>
  </si>
  <si>
    <t>GildedScale</t>
  </si>
  <si>
    <t>SlimeSecretions</t>
  </si>
  <si>
    <t>GuidetoGold</t>
  </si>
  <si>
    <t>GlazeLily</t>
  </si>
  <si>
    <t>BeaconoftheReedSea</t>
  </si>
  <si>
    <t>ShacklesoftheDandelionGladiator</t>
  </si>
  <si>
    <t>Keqing</t>
  </si>
  <si>
    <t>Hydro Hypostases</t>
  </si>
  <si>
    <t>DewofRepudiation</t>
  </si>
  <si>
    <t>BloodjadeBranch</t>
  </si>
  <si>
    <t>SlimeConcentrate</t>
  </si>
  <si>
    <t>PhilosophiesofGold</t>
  </si>
  <si>
    <t>HennaBerry</t>
  </si>
  <si>
    <t>BlackcliffAgate</t>
  </si>
  <si>
    <t>DreamoftheDandelionGladiator</t>
  </si>
  <si>
    <t>Kirara</t>
  </si>
  <si>
    <t>Thunder Manif.</t>
  </si>
  <si>
    <t>StormBeads</t>
  </si>
  <si>
    <t>Signora</t>
  </si>
  <si>
    <t>HellfireButterfly</t>
  </si>
  <si>
    <t>Treasure Hoarder</t>
  </si>
  <si>
    <t>TreasureHoarderInsignia</t>
  </si>
  <si>
    <t>TeachingsofProsperity</t>
  </si>
  <si>
    <t>JueyunChili</t>
  </si>
  <si>
    <t>BlackcliffLongsword</t>
  </si>
  <si>
    <t>LuminousSandsfromGuyun</t>
  </si>
  <si>
    <t>KukiShinobu</t>
  </si>
  <si>
    <t>Golden Wolflords</t>
  </si>
  <si>
    <t>RiftbornRegalia</t>
  </si>
  <si>
    <t>AshenHeart</t>
  </si>
  <si>
    <t>SilverRavenInsignia</t>
  </si>
  <si>
    <t>GuidetoProsperity</t>
  </si>
  <si>
    <t>KalpalataLotus</t>
  </si>
  <si>
    <t>BlackcliffPole</t>
  </si>
  <si>
    <t>LustrousStonefromGuyun</t>
  </si>
  <si>
    <t>Layla</t>
  </si>
  <si>
    <t>Bathysmal Vishap Herds</t>
  </si>
  <si>
    <t>DragonheirsFalseFin</t>
  </si>
  <si>
    <t>MoltenMoment</t>
  </si>
  <si>
    <t>GoldenRavenInsignia</t>
  </si>
  <si>
    <t>PhilosophiesofProsperity</t>
  </si>
  <si>
    <t>LakelightLily</t>
  </si>
  <si>
    <t>BlackcliffSlasher</t>
  </si>
  <si>
    <t>RelicfromGuyun</t>
  </si>
  <si>
    <t>Lynette</t>
  </si>
  <si>
    <t>Ruin Serpents</t>
  </si>
  <si>
    <t>RunicFang</t>
  </si>
  <si>
    <t>[Raiden] Guardian of Eternity</t>
  </si>
  <si>
    <t>MudraoftheMaleficGeneral</t>
  </si>
  <si>
    <t>Fatui</t>
  </si>
  <si>
    <t>RecruitsInsignia</t>
  </si>
  <si>
    <t>TeachingsofDiligence</t>
  </si>
  <si>
    <t>LumidouceBell</t>
  </si>
  <si>
    <t>BlackcliffWarbow</t>
  </si>
  <si>
    <t>DivineBodyfromGuyun</t>
  </si>
  <si>
    <t>Nilou</t>
  </si>
  <si>
    <t>Electro Regisvines</t>
  </si>
  <si>
    <t>ThunderclapFruitcore</t>
  </si>
  <si>
    <t>TheMeaningofAeons</t>
  </si>
  <si>
    <t>SergeantsInsignia</t>
  </si>
  <si>
    <t>GuidetoDiligence</t>
  </si>
  <si>
    <t>Lumitoile</t>
  </si>
  <si>
    <t>BlackTassel</t>
  </si>
  <si>
    <t>MistVeiledLeadElixir</t>
  </si>
  <si>
    <t>Qiqi</t>
  </si>
  <si>
    <t>Jadeplume Terrorshroom</t>
  </si>
  <si>
    <t>MajesticHookedBeak</t>
  </si>
  <si>
    <t>TearsoftheCalamitousGod</t>
  </si>
  <si>
    <t>LieutenantsInsignia</t>
  </si>
  <si>
    <t>PhilosophiesofDiligence</t>
  </si>
  <si>
    <t>MourningFlower</t>
  </si>
  <si>
    <t>BloodtaintedGreatsword</t>
  </si>
  <si>
    <t>MistVeiledMercuryElixir</t>
  </si>
  <si>
    <t>TravelerAnemo</t>
  </si>
  <si>
    <t>Aeonblight Drakes</t>
  </si>
  <si>
    <t>PerpetualCaliber</t>
  </si>
  <si>
    <t>PuppetStrings</t>
  </si>
  <si>
    <t>Whopper­flower</t>
  </si>
  <si>
    <t>WhopperflowerNectar</t>
  </si>
  <si>
    <t>TeachingsofTransience</t>
  </si>
  <si>
    <t>NakuWeed</t>
  </si>
  <si>
    <t>CalamityQueller</t>
  </si>
  <si>
    <t>MistVeiledGoldElixir</t>
  </si>
  <si>
    <t>TravelerGeo</t>
  </si>
  <si>
    <t>ASIMON</t>
  </si>
  <si>
    <t>LightGuidingTetrahedron</t>
  </si>
  <si>
    <t>DakasBell</t>
  </si>
  <si>
    <t>ShimmeringNectar</t>
  </si>
  <si>
    <t>GuidetoTransience</t>
  </si>
  <si>
    <t>NilotpalaLotus</t>
  </si>
  <si>
    <t>CashflowSupervision</t>
  </si>
  <si>
    <t>MistVeiledPrimoElixir</t>
  </si>
  <si>
    <t>TravelerElectro</t>
  </si>
  <si>
    <t>Dendro Hypostases</t>
  </si>
  <si>
    <t>QuelledCreeper</t>
  </si>
  <si>
    <t>MirrorofMushin</t>
  </si>
  <si>
    <t>EnergyNectar</t>
  </si>
  <si>
    <t>PhilosophiesofTransience</t>
  </si>
  <si>
    <t>NoctilucousJade</t>
  </si>
  <si>
    <t>CinnabarSpindle</t>
  </si>
  <si>
    <t>GrainofAerosiderite</t>
  </si>
  <si>
    <t>TravelerDendro</t>
  </si>
  <si>
    <t>Setekh Wenut</t>
  </si>
  <si>
    <t>PseudoStamens</t>
  </si>
  <si>
    <t>Guardian of Apep's Oasis</t>
  </si>
  <si>
    <t>PrimordialGreenbloom</t>
  </si>
  <si>
    <t>Nobushi</t>
  </si>
  <si>
    <t>OldHandguard</t>
  </si>
  <si>
    <t>TeachingsofLight</t>
  </si>
  <si>
    <t>Onikabuto</t>
  </si>
  <si>
    <t>Cloudforged</t>
  </si>
  <si>
    <t>PieceofAerosiderite</t>
  </si>
  <si>
    <t>TravelerHydro</t>
  </si>
  <si>
    <t>Iniquitous Baptists</t>
  </si>
  <si>
    <t>EvergloomRing</t>
  </si>
  <si>
    <t>Everamber</t>
  </si>
  <si>
    <t>KageuchiHandguard</t>
  </si>
  <si>
    <t>GuidetoLight</t>
  </si>
  <si>
    <t>Padisarah</t>
  </si>
  <si>
    <t>CompoundBow</t>
  </si>
  <si>
    <t>BitofAerosiderite</t>
  </si>
  <si>
    <t>Coppelia</t>
  </si>
  <si>
    <t>ArtificedSpareClockworkComponentCoppelia</t>
  </si>
  <si>
    <t>WorldspanFern</t>
  </si>
  <si>
    <t>FamedHandguard</t>
  </si>
  <si>
    <t>PhilosophiesofLight</t>
  </si>
  <si>
    <t>PhilanemoMushroom</t>
  </si>
  <si>
    <t>CoolSteel</t>
  </si>
  <si>
    <t>ChunkofAerosiderite</t>
  </si>
  <si>
    <t>Coppelius</t>
  </si>
  <si>
    <t>ArtificedSpareClockworkComponentCoppelius</t>
  </si>
  <si>
    <t>All-Devouring Narwhal</t>
  </si>
  <si>
    <t>LightlessSilkString</t>
  </si>
  <si>
    <t>Specters</t>
  </si>
  <si>
    <t>SpectralHusk</t>
  </si>
  <si>
    <t>TeachingsofElegance</t>
  </si>
  <si>
    <t>Qingxin</t>
  </si>
  <si>
    <t>CranesEchoingCall</t>
  </si>
  <si>
    <t>CoralBranchofaDistantSea</t>
  </si>
  <si>
    <t>Xingqiu</t>
  </si>
  <si>
    <t>Emperor of Fire and Iron</t>
  </si>
  <si>
    <t>EmperorsResolution</t>
  </si>
  <si>
    <t>LightlessEyeoftheMaelstrom</t>
  </si>
  <si>
    <t>SpectralHeart</t>
  </si>
  <si>
    <t>GuidetoElegance</t>
  </si>
  <si>
    <t>RainbowRose</t>
  </si>
  <si>
    <t>CrescentPike</t>
  </si>
  <si>
    <t>JeweledBranchofaDistantSea</t>
  </si>
  <si>
    <t>Aloy</t>
  </si>
  <si>
    <t>Experimental Field Generators</t>
  </si>
  <si>
    <t>TourbillonDevice</t>
  </si>
  <si>
    <t>LightlessMass</t>
  </si>
  <si>
    <t>SpectralNucleus</t>
  </si>
  <si>
    <t>PhilosophiesofElegance</t>
  </si>
  <si>
    <t>RomaritimeFlower</t>
  </si>
  <si>
    <t>CrimsonMoonsSemblance</t>
  </si>
  <si>
    <t>JadeBranchofaDistantSea</t>
  </si>
  <si>
    <t>Amber</t>
  </si>
  <si>
    <t>Millennial Pearl Seahorses</t>
  </si>
  <si>
    <t>FontemerUnihorn</t>
  </si>
  <si>
    <t>The Knave</t>
  </si>
  <si>
    <t>SilkenFeather</t>
  </si>
  <si>
    <t>Fungi</t>
  </si>
  <si>
    <t>FungalSpores</t>
  </si>
  <si>
    <t>TeachingsofIngenuity</t>
  </si>
  <si>
    <t>RukkhashavaMushrooms</t>
  </si>
  <si>
    <t>DarkIronSword</t>
  </si>
  <si>
    <t>GoldenBranchofaDistantSea</t>
  </si>
  <si>
    <t>Collei</t>
  </si>
  <si>
    <t>Hydro Tulpas</t>
  </si>
  <si>
    <t>WaterThatFailedToTranscend</t>
  </si>
  <si>
    <t>DenialandJudgment</t>
  </si>
  <si>
    <t>LuminescentPollen</t>
  </si>
  <si>
    <t>GuidetoIngenuity</t>
  </si>
  <si>
    <t>SakuraBloom</t>
  </si>
  <si>
    <t>Deathmatch</t>
  </si>
  <si>
    <t>NarukamisWisdom</t>
  </si>
  <si>
    <t>Diona</t>
  </si>
  <si>
    <t>CloudseamScale</t>
  </si>
  <si>
    <t>FadingCandle</t>
  </si>
  <si>
    <t>CrystallineCystDust</t>
  </si>
  <si>
    <t>PhilosophiesofIngenuity</t>
  </si>
  <si>
    <t>SandGreasePupa</t>
  </si>
  <si>
    <t>DebateClub</t>
  </si>
  <si>
    <t>NarukamisJoy</t>
  </si>
  <si>
    <t>Faruzan</t>
  </si>
  <si>
    <t>Legatus Golem</t>
  </si>
  <si>
    <t>FragmentofaGoldenMelody</t>
  </si>
  <si>
    <t>FadedRedSatin</t>
  </si>
  <si>
    <t>TeachingsofAdmonition</t>
  </si>
  <si>
    <t>SangoPearl</t>
  </si>
  <si>
    <t>DialoguesoftheDesertSages</t>
  </si>
  <si>
    <t>NarukamisAffection</t>
  </si>
  <si>
    <t>Fischl</t>
  </si>
  <si>
    <t>TrimmedRedSilk</t>
  </si>
  <si>
    <t>GuidetoAdmonition</t>
  </si>
  <si>
    <t>Scarab</t>
  </si>
  <si>
    <t>DodocoTales</t>
  </si>
  <si>
    <t>NarukamisValor</t>
  </si>
  <si>
    <t>Ganyu</t>
  </si>
  <si>
    <t>RichRedBrocade</t>
  </si>
  <si>
    <t>PhilosophiesofAdmonition</t>
  </si>
  <si>
    <t>SeaGanoderma</t>
  </si>
  <si>
    <t>DragonsBane</t>
  </si>
  <si>
    <t>MaskoftheWickedLieutenant</t>
  </si>
  <si>
    <t>Gorou</t>
  </si>
  <si>
    <t>Fontemer Aberrant</t>
  </si>
  <si>
    <t>TransoceanicPearl</t>
  </si>
  <si>
    <t>TeachingsofPraxis</t>
  </si>
  <si>
    <t>SilkFlower</t>
  </si>
  <si>
    <t>DragonspineSpear</t>
  </si>
  <si>
    <t>MaskoftheTigersBite</t>
  </si>
  <si>
    <t>KujouSara</t>
  </si>
  <si>
    <t>TransoceanicChunk</t>
  </si>
  <si>
    <t>GuidetoPraxis</t>
  </si>
  <si>
    <t>SmallLampGrass</t>
  </si>
  <si>
    <t>ElegyfortheEnd</t>
  </si>
  <si>
    <t>MaskoftheOneHorned</t>
  </si>
  <si>
    <t>Lyney</t>
  </si>
  <si>
    <t>XenochromaticCrystal</t>
  </si>
  <si>
    <t>PhilosophiesofPraxis</t>
  </si>
  <si>
    <t>SpringoftheFirstDewdrop</t>
  </si>
  <si>
    <t>EmeraldOrb</t>
  </si>
  <si>
    <t>MaskoftheKijin</t>
  </si>
  <si>
    <t>Clockwork Meka</t>
  </si>
  <si>
    <t>MeshingGear</t>
  </si>
  <si>
    <t>TeachingsofJustice</t>
  </si>
  <si>
    <t>Starconch</t>
  </si>
  <si>
    <t>EndoftheLine</t>
  </si>
  <si>
    <t>CopperTalismanoftheForestDew</t>
  </si>
  <si>
    <t>Tartaglia</t>
  </si>
  <si>
    <t>MechanicalSpurGear</t>
  </si>
  <si>
    <t>GuidetoJustice</t>
  </si>
  <si>
    <t>SubdetectionUnit</t>
  </si>
  <si>
    <t>EngulfingLightning</t>
  </si>
  <si>
    <t>IronTalismanoftheForestDew</t>
  </si>
  <si>
    <t>Tighnari</t>
  </si>
  <si>
    <t>ArtificedDynamicGear</t>
  </si>
  <si>
    <t>PhilosophiesofJustice</t>
  </si>
  <si>
    <t>EverlastingMoonglow</t>
  </si>
  <si>
    <t>SilverTalismanoftheForestDew</t>
  </si>
  <si>
    <t>Venti</t>
  </si>
  <si>
    <t>TeachingsofOrder</t>
  </si>
  <si>
    <t>Valberry</t>
  </si>
  <si>
    <t>EyeofPerception</t>
  </si>
  <si>
    <t>GoldenTalismanoftheForestDew</t>
  </si>
  <si>
    <t>Yelan</t>
  </si>
  <si>
    <t>GuidetoOrder</t>
  </si>
  <si>
    <t>Violetgrass</t>
  </si>
  <si>
    <t>FadingTwilight</t>
  </si>
  <si>
    <t>OasisGardensReminiscence</t>
  </si>
  <si>
    <t>Yoimiya</t>
  </si>
  <si>
    <t>PhilosophiesofOrder</t>
  </si>
  <si>
    <t>WindwheelAster</t>
  </si>
  <si>
    <t>FavoniusCodex</t>
  </si>
  <si>
    <t>OasisGardensKindness</t>
  </si>
  <si>
    <t>AratakiItto</t>
  </si>
  <si>
    <t>TeachingsofEquity</t>
  </si>
  <si>
    <t>Wolfhook</t>
  </si>
  <si>
    <t>FavoniusGreatsword</t>
  </si>
  <si>
    <t>OasisGardensMourning</t>
  </si>
  <si>
    <t>Beidou</t>
  </si>
  <si>
    <t>GuidetoEquity</t>
  </si>
  <si>
    <t>FavoniusLance</t>
  </si>
  <si>
    <t>OasisGardensTruth</t>
  </si>
  <si>
    <t>Chongyun</t>
  </si>
  <si>
    <t>PhilosophiesofEquity</t>
  </si>
  <si>
    <t>FavoniusSword</t>
  </si>
  <si>
    <t>EchoofScorchingMight</t>
  </si>
  <si>
    <t>Dehya</t>
  </si>
  <si>
    <t>FavoniusWarbow</t>
  </si>
  <si>
    <t>RemnantGlowofScorchingMight</t>
  </si>
  <si>
    <t>Diluc</t>
  </si>
  <si>
    <t>FerrousShadow</t>
  </si>
  <si>
    <t>DreamofScorchingMight</t>
  </si>
  <si>
    <t>Dori</t>
  </si>
  <si>
    <t>FesteringDesire</t>
  </si>
  <si>
    <t>OldenDaysofScorchingMight</t>
  </si>
  <si>
    <t>Eula</t>
  </si>
  <si>
    <t>FilletBlade</t>
  </si>
  <si>
    <t>FragmentofanAncientChord</t>
  </si>
  <si>
    <t>Freminet</t>
  </si>
  <si>
    <t>FinaleoftheDeep</t>
  </si>
  <si>
    <t>ChapterofanAncientChord</t>
  </si>
  <si>
    <t>Gaming</t>
  </si>
  <si>
    <t>FleuveCendreFerryman</t>
  </si>
  <si>
    <t>MovementofanAncientChord</t>
  </si>
  <si>
    <t>Kaveh</t>
  </si>
  <si>
    <t>FlowingPurity</t>
  </si>
  <si>
    <t>EchoofanAncientChord</t>
  </si>
  <si>
    <t>Navia</t>
  </si>
  <si>
    <t>ForestRegalia</t>
  </si>
  <si>
    <t>DrossofPureSacredDewdrop</t>
  </si>
  <si>
    <t>Noelle</t>
  </si>
  <si>
    <t>FreedomSworn</t>
  </si>
  <si>
    <t>SublimationofPureSacredDewdrop</t>
  </si>
  <si>
    <t>Razor</t>
  </si>
  <si>
    <t>Frostbearer</t>
  </si>
  <si>
    <t>SpringofPureSacredDewdrop</t>
  </si>
  <si>
    <t>Sayu</t>
  </si>
  <si>
    <t>FruitofFulfillment</t>
  </si>
  <si>
    <t>EssenceofPureSacredDewdrop</t>
  </si>
  <si>
    <t>Xinyan</t>
  </si>
  <si>
    <t>HakushinRing</t>
  </si>
  <si>
    <t>BrokenGobletofthePristineSea</t>
  </si>
  <si>
    <t>Arlecchino</t>
  </si>
  <si>
    <t>Halberd</t>
  </si>
  <si>
    <t>WineGobletofthePristineSea</t>
  </si>
  <si>
    <t>Baizhu</t>
  </si>
  <si>
    <t>Hamayumi</t>
  </si>
  <si>
    <t>SilverGobletofthePristineSea</t>
  </si>
  <si>
    <t>Barbara</t>
  </si>
  <si>
    <t>HaranGeppakuFutsu</t>
  </si>
  <si>
    <t>GoldenGobletofthePristineSea</t>
  </si>
  <si>
    <t>Charlotte</t>
  </si>
  <si>
    <t>HarbingerofDawn</t>
  </si>
  <si>
    <t>Klee</t>
  </si>
  <si>
    <t>HuntersPath</t>
  </si>
  <si>
    <t>Lisa</t>
  </si>
  <si>
    <t>IbisPiercer</t>
  </si>
  <si>
    <t>Mona</t>
  </si>
  <si>
    <t>IronSting</t>
  </si>
  <si>
    <t>Nahida</t>
  </si>
  <si>
    <t>JadefallsSplendor</t>
  </si>
  <si>
    <t>Neuvillette</t>
  </si>
  <si>
    <t>KagotsurubeIsshin</t>
  </si>
  <si>
    <t>Ningguang</t>
  </si>
  <si>
    <t>KagurasVerity</t>
  </si>
  <si>
    <t>SangonomiyaKokomi</t>
  </si>
  <si>
    <t>KatsuragikiriNagamasa</t>
  </si>
  <si>
    <t>ShikanoinHeizou</t>
  </si>
  <si>
    <t>KeyofKhajNisut</t>
  </si>
  <si>
    <t>Sucrose</t>
  </si>
  <si>
    <t>KingsSquire</t>
  </si>
  <si>
    <t>Wanderer</t>
  </si>
  <si>
    <t>KitainCrossSpear</t>
  </si>
  <si>
    <t>Wriothesley</t>
  </si>
  <si>
    <t>LightofFoliarIncision</t>
  </si>
  <si>
    <t>Xianyun</t>
  </si>
  <si>
    <t>LionsRoar</t>
  </si>
  <si>
    <t>YaeMiko</t>
  </si>
  <si>
    <t>LithicBlade</t>
  </si>
  <si>
    <t>Yanfei</t>
  </si>
  <si>
    <t>LithicSpear</t>
  </si>
  <si>
    <t>Candace</t>
  </si>
  <si>
    <t>LostPrayertotheSacredWinds</t>
  </si>
  <si>
    <t>Chevreuse</t>
  </si>
  <si>
    <t>LuxuriousSeaLord</t>
  </si>
  <si>
    <t>Cyno</t>
  </si>
  <si>
    <t>MagicGuide</t>
  </si>
  <si>
    <t>HuTao</t>
  </si>
  <si>
    <t>MailedFlower</t>
  </si>
  <si>
    <t>Mika</t>
  </si>
  <si>
    <t>MakhairaAquamarine</t>
  </si>
  <si>
    <t>RaidenShogun</t>
  </si>
  <si>
    <t>MappaMare</t>
  </si>
  <si>
    <t>Rosaria</t>
  </si>
  <si>
    <t>MemoryofDust</t>
  </si>
  <si>
    <t>Shenhe</t>
  </si>
  <si>
    <t>Messenger</t>
  </si>
  <si>
    <t>Thoma</t>
  </si>
  <si>
    <t>MissiveWindspear</t>
  </si>
  <si>
    <t>Xiangling</t>
  </si>
  <si>
    <t>MistsplitterReforged</t>
  </si>
  <si>
    <t>Xiao</t>
  </si>
  <si>
    <t>MitternachtsWaltz</t>
  </si>
  <si>
    <t>Yaoyao</t>
  </si>
  <si>
    <t>Moonpiercer</t>
  </si>
  <si>
    <t>YunJin</t>
  </si>
  <si>
    <t>MouunsMoon</t>
  </si>
  <si>
    <t>Zhongli</t>
  </si>
  <si>
    <t>OathswornEye</t>
  </si>
  <si>
    <t>OtherworldlyStory</t>
  </si>
  <si>
    <t>PolarStar</t>
  </si>
  <si>
    <t>PortablePowerSaw</t>
  </si>
  <si>
    <t>Predator</t>
  </si>
  <si>
    <t>PrimordialJadeCutter</t>
  </si>
  <si>
    <t>PrimordialJadeWingedSpear</t>
  </si>
  <si>
    <t>ProspectorsDrill</t>
  </si>
  <si>
    <t>PrototypeAmber</t>
  </si>
  <si>
    <t>PrototypeArchaic</t>
  </si>
  <si>
    <t>PrototypeCrescent</t>
  </si>
  <si>
    <t>PrototypeRancour</t>
  </si>
  <si>
    <t>PrototypeStarglitter</t>
  </si>
  <si>
    <t>Rainslasher</t>
  </si>
  <si>
    <t>RangeGauge</t>
  </si>
  <si>
    <t>RavenBow</t>
  </si>
  <si>
    <t>RecurveBow</t>
  </si>
  <si>
    <t>RedhornStonethresher</t>
  </si>
  <si>
    <t>RightfulReward</t>
  </si>
  <si>
    <t>RoyalBow</t>
  </si>
  <si>
    <t>RoyalGreatsword</t>
  </si>
  <si>
    <t>RoyalGrimoire</t>
  </si>
  <si>
    <t>RoyalLongsword</t>
  </si>
  <si>
    <t>RoyalSpear</t>
  </si>
  <si>
    <t>Rust</t>
  </si>
  <si>
    <t>SacrificialBow</t>
  </si>
  <si>
    <t>SacrificialFragments</t>
  </si>
  <si>
    <t>SacrificialGreatsword</t>
  </si>
  <si>
    <t>SacrificialJade</t>
  </si>
  <si>
    <t>SacrificialSword</t>
  </si>
  <si>
    <t>SapwoodBlade</t>
  </si>
  <si>
    <t>ScionoftheBlazingSun</t>
  </si>
  <si>
    <t>SerpentSpine</t>
  </si>
  <si>
    <t>SharpshootersOath</t>
  </si>
  <si>
    <t>SkyriderGreatsword</t>
  </si>
  <si>
    <t>SkyriderSword</t>
  </si>
  <si>
    <t>SkywardAtlas</t>
  </si>
  <si>
    <t>SkywardBlade</t>
  </si>
  <si>
    <t>SkywardHarp</t>
  </si>
  <si>
    <t>SkywardPride</t>
  </si>
  <si>
    <t>SkywardSpine</t>
  </si>
  <si>
    <t>Slingshot</t>
  </si>
  <si>
    <t>SnowTombedStarsilver</t>
  </si>
  <si>
    <t>SolarPearl</t>
  </si>
  <si>
    <t>SongofBrokenPines</t>
  </si>
  <si>
    <t>SongofStillness</t>
  </si>
  <si>
    <t>SplendorofTranquilWaters</t>
  </si>
  <si>
    <t>StaffofHoma</t>
  </si>
  <si>
    <t>StaffoftheScarletSands</t>
  </si>
  <si>
    <t>SummitShaper</t>
  </si>
  <si>
    <t>SwordofDescension</t>
  </si>
  <si>
    <t>SwordofNarzissenkreuz</t>
  </si>
  <si>
    <t>TalkingStick</t>
  </si>
  <si>
    <t>TheAlleyFlash</t>
  </si>
  <si>
    <t>TheBell</t>
  </si>
  <si>
    <t>TheBlackSword</t>
  </si>
  <si>
    <t>TheCatch</t>
  </si>
  <si>
    <t>TheDockhandsAssistant</t>
  </si>
  <si>
    <t>TheFirstGreatMagic</t>
  </si>
  <si>
    <t>TheFlute</t>
  </si>
  <si>
    <t>TheStringless</t>
  </si>
  <si>
    <t>TheUnforged</t>
  </si>
  <si>
    <t>TheViridescentHunt</t>
  </si>
  <si>
    <t>TheWidsith</t>
  </si>
  <si>
    <t>ThrillingTalesofDragonSlayers</t>
  </si>
  <si>
    <t>ThunderingPulse</t>
  </si>
  <si>
    <t>TidalShadow</t>
  </si>
  <si>
    <t>TomeoftheEternalFlow</t>
  </si>
  <si>
    <t>ToukabouShigure</t>
  </si>
  <si>
    <t>TravelersHandySword</t>
  </si>
  <si>
    <t>TulaytullahsRemembrance</t>
  </si>
  <si>
    <t>TwinNephrite</t>
  </si>
  <si>
    <t>UltimateOverlordsMegaMagicSword</t>
  </si>
  <si>
    <t>UrakuMisugiri</t>
  </si>
  <si>
    <t>Verdict</t>
  </si>
  <si>
    <t>VortexVanquisher</t>
  </si>
  <si>
    <t>WanderingEvenstar</t>
  </si>
  <si>
    <t>WavebreakersFin</t>
  </si>
  <si>
    <t>Whiteblind</t>
  </si>
  <si>
    <t>WhiteIronGreatsword</t>
  </si>
  <si>
    <t>WhiteTassel</t>
  </si>
  <si>
    <t>WindblumeOde</t>
  </si>
  <si>
    <t>WineandSong</t>
  </si>
  <si>
    <t>WolfFang</t>
  </si>
  <si>
    <t>WolfsGravestone</t>
  </si>
  <si>
    <t>XiphosMoonlight</t>
  </si>
  <si>
    <t>Inventory</t>
  </si>
  <si>
    <t>Quantity</t>
  </si>
  <si>
    <t>Genshin Resource Calculator</t>
  </si>
  <si>
    <t>Current Character Levels</t>
  </si>
  <si>
    <t>Targeted Character Levels</t>
  </si>
  <si>
    <t>Ascension Materials</t>
  </si>
  <si>
    <t>Ascension Stones</t>
  </si>
  <si>
    <t>Monster Drops for Ascension &amp; Talent</t>
  </si>
  <si>
    <t>Total Mob Materials</t>
  </si>
  <si>
    <t>Mora Calculation</t>
  </si>
  <si>
    <t>Sl No.</t>
  </si>
  <si>
    <t>NameHelper</t>
  </si>
  <si>
    <t>Version Released</t>
  </si>
  <si>
    <t>Level</t>
  </si>
  <si>
    <t>NA</t>
  </si>
  <si>
    <t>Skill</t>
  </si>
  <si>
    <t>Burst</t>
  </si>
  <si>
    <t>Hero's Wits</t>
  </si>
  <si>
    <t>Material</t>
  </si>
  <si>
    <t>Need to Farm</t>
  </si>
  <si>
    <t>Book</t>
  </si>
  <si>
    <t>4* Book</t>
  </si>
  <si>
    <t>3* Book</t>
  </si>
  <si>
    <t>2* Book</t>
  </si>
  <si>
    <t>Local Specialties</t>
  </si>
  <si>
    <t>Stone Type</t>
  </si>
  <si>
    <t>Material Type</t>
  </si>
  <si>
    <t>Ascension
Cost</t>
  </si>
  <si>
    <t>Talent Cost
(NA)</t>
  </si>
  <si>
    <t>Talent Cost
(Skill)</t>
  </si>
  <si>
    <t>Talent Cost
(Burst)</t>
  </si>
  <si>
    <t>Total
Cost</t>
  </si>
  <si>
    <t>Arataki Itto</t>
  </si>
  <si>
    <t>Hu Tao</t>
  </si>
  <si>
    <t>Kamisato Ayaka</t>
  </si>
  <si>
    <t>Kamisato Ayato</t>
  </si>
  <si>
    <t>Kazuha</t>
  </si>
  <si>
    <t>Kujou Sara</t>
  </si>
  <si>
    <t>Kuki Shinobu</t>
  </si>
  <si>
    <t>Raiden Shogun</t>
  </si>
  <si>
    <t>Sangonomiya Kokomi</t>
  </si>
  <si>
    <t>Shikanoin Heizou</t>
  </si>
  <si>
    <t>Traveler</t>
  </si>
  <si>
    <t>Yae Miko</t>
  </si>
  <si>
    <t>Yoimia</t>
  </si>
  <si>
    <t>Yun Jin</t>
  </si>
  <si>
    <t>Total</t>
  </si>
  <si>
    <t>Version</t>
  </si>
  <si>
    <t>Mats Needed</t>
  </si>
  <si>
    <t>Mats Acquired</t>
  </si>
  <si>
    <t>Remaining Mats</t>
  </si>
  <si>
    <t>Books Acquired</t>
  </si>
  <si>
    <t>Remaining Books</t>
  </si>
  <si>
    <t>Mondstadt</t>
  </si>
  <si>
    <t>Liyue</t>
  </si>
  <si>
    <t>Inazuma</t>
  </si>
  <si>
    <t>Sumeru</t>
  </si>
  <si>
    <t>Fontain</t>
  </si>
  <si>
    <t>Weekly Boss Material</t>
  </si>
  <si>
    <t>Stone Name</t>
  </si>
  <si>
    <t>Stones Acquired</t>
  </si>
  <si>
    <t>Remaining Stones</t>
  </si>
  <si>
    <t>Amakumo Fruit</t>
  </si>
  <si>
    <t>Beryl Conch</t>
  </si>
  <si>
    <t>Calla Lily</t>
  </si>
  <si>
    <t>Clearwater Jade</t>
  </si>
  <si>
    <t>Cor Lapis</t>
  </si>
  <si>
    <t>Crystal Marrow</t>
  </si>
  <si>
    <t>Dandelion Seed</t>
  </si>
  <si>
    <t>Fluorescent Fungus</t>
  </si>
  <si>
    <t>Glaze Lily</t>
  </si>
  <si>
    <t>Henna Berry</t>
  </si>
  <si>
    <t>Jueyun Chili</t>
  </si>
  <si>
    <t>Kalpalata Lotus</t>
  </si>
  <si>
    <t>Lakelight Lily</t>
  </si>
  <si>
    <t>Lumidouce Bell</t>
  </si>
  <si>
    <t>Mourning Flower</t>
  </si>
  <si>
    <t>Naku Weed</t>
  </si>
  <si>
    <t>Nilotpala Lotus</t>
  </si>
  <si>
    <t>Noctilucous Jade</t>
  </si>
  <si>
    <t>Philanemo Mushroom</t>
  </si>
  <si>
    <t>Rainbow Rose</t>
  </si>
  <si>
    <t>Romaritime Flower</t>
  </si>
  <si>
    <t>Rukkhashava Mushrooms</t>
  </si>
  <si>
    <t>Sakura Bloom</t>
  </si>
  <si>
    <t>Sand Grease Pupa</t>
  </si>
  <si>
    <t>Sango Pearl</t>
  </si>
  <si>
    <t>Sea Ganoderma</t>
  </si>
  <si>
    <t>Silk Flower</t>
  </si>
  <si>
    <t>Small Lamp Grass</t>
  </si>
  <si>
    <t>Spring of the First Dewdrop</t>
  </si>
  <si>
    <t>Subdetection Unit</t>
  </si>
  <si>
    <t>Windwheel Aster</t>
  </si>
  <si>
    <t>Need to farm</t>
  </si>
  <si>
    <t>2* Book2</t>
  </si>
  <si>
    <t>2* Book3</t>
  </si>
  <si>
    <t>2* Need</t>
  </si>
  <si>
    <t>4* Need</t>
  </si>
  <si>
    <t>3* Need</t>
  </si>
  <si>
    <t>2* Need3</t>
  </si>
  <si>
    <t>2* Need2</t>
  </si>
  <si>
    <t>3* Book2</t>
  </si>
  <si>
    <t>3* Need2</t>
  </si>
  <si>
    <t>4* Book2</t>
  </si>
  <si>
    <t>4* Need2</t>
  </si>
  <si>
    <t>3* Book3</t>
  </si>
  <si>
    <t>3* Need3</t>
  </si>
  <si>
    <t>4* Book3</t>
  </si>
  <si>
    <t>4* Need3</t>
  </si>
  <si>
    <t>HelperName</t>
  </si>
  <si>
    <t>Link to Interactive Map</t>
  </si>
  <si>
    <t>BrilliantDiamond</t>
  </si>
  <si>
    <t>AgnidusAgate</t>
  </si>
  <si>
    <t>VarunadaLazurite</t>
  </si>
  <si>
    <t>NagadusEmerald</t>
  </si>
  <si>
    <t>VajradaAmethyst</t>
  </si>
  <si>
    <t>VayudaTurquoise</t>
  </si>
  <si>
    <t>ShivadaJade</t>
  </si>
  <si>
    <t>PrithivaTopaz</t>
  </si>
  <si>
    <t>Gemstone2</t>
  </si>
  <si>
    <t>Chunk6</t>
  </si>
  <si>
    <t>Fragment11</t>
  </si>
  <si>
    <t>Silver13</t>
  </si>
  <si>
    <t>Gemstone3</t>
  </si>
  <si>
    <t>Chunk7</t>
  </si>
  <si>
    <t>Fragment12</t>
  </si>
  <si>
    <t>Silver14</t>
  </si>
  <si>
    <t>Specialty</t>
  </si>
  <si>
    <t>Column1</t>
  </si>
  <si>
    <t>Column2</t>
  </si>
  <si>
    <t>Need1</t>
  </si>
  <si>
    <t>Need3</t>
  </si>
  <si>
    <t>3* Mats2</t>
  </si>
  <si>
    <t>Acquired1</t>
  </si>
  <si>
    <t>2* Mats2</t>
  </si>
  <si>
    <t>1* Mats2</t>
  </si>
  <si>
    <t>3* Mats3</t>
  </si>
  <si>
    <t>2* Mats3</t>
  </si>
  <si>
    <t>1* Mats3</t>
  </si>
  <si>
    <t>Remaining1</t>
  </si>
  <si>
    <t>Remaining2</t>
  </si>
  <si>
    <t>Remaining3</t>
  </si>
  <si>
    <t>3*Icon</t>
  </si>
  <si>
    <t>2*Icon</t>
  </si>
  <si>
    <t>1*Icon</t>
  </si>
  <si>
    <t>3*Name</t>
  </si>
  <si>
    <t>2*Name</t>
  </si>
  <si>
    <t>1*Name</t>
  </si>
  <si>
    <t>HelperName3*</t>
  </si>
  <si>
    <t>HelperName2*</t>
  </si>
  <si>
    <t>HelperName1*</t>
  </si>
  <si>
    <t>3* (Asc)</t>
  </si>
  <si>
    <t>2* (Asc)</t>
  </si>
  <si>
    <t>1* (Asc)</t>
  </si>
  <si>
    <t>3* (Tal)</t>
  </si>
  <si>
    <t>2* (Tal)</t>
  </si>
  <si>
    <t>1* (Tal)</t>
  </si>
  <si>
    <t>3* Icon</t>
  </si>
  <si>
    <t>1* Icon</t>
  </si>
  <si>
    <t>3* Quantity</t>
  </si>
  <si>
    <t>2* Icon</t>
  </si>
  <si>
    <t>2* Quantity</t>
  </si>
  <si>
    <t>1* Quantity</t>
  </si>
  <si>
    <t>MonsterDrops</t>
  </si>
  <si>
    <t>Crown of Insignia</t>
  </si>
  <si>
    <t>Freedom</t>
  </si>
  <si>
    <t>Resistance</t>
  </si>
  <si>
    <t>Ballad</t>
  </si>
  <si>
    <t>Prosperity</t>
  </si>
  <si>
    <t>Diligence</t>
  </si>
  <si>
    <t>Gold</t>
  </si>
  <si>
    <t>Transience</t>
  </si>
  <si>
    <t>Elegance</t>
  </si>
  <si>
    <t>Light</t>
  </si>
  <si>
    <t>Admonition</t>
  </si>
  <si>
    <t>Ingenuity</t>
  </si>
  <si>
    <t>Equity</t>
  </si>
  <si>
    <t>Justice</t>
  </si>
  <si>
    <t>Order</t>
  </si>
  <si>
    <t>DreamSolvent</t>
  </si>
  <si>
    <t>Need2</t>
  </si>
  <si>
    <t>Acquired2</t>
  </si>
  <si>
    <t>Acquired3</t>
  </si>
  <si>
    <t>Acquired</t>
  </si>
  <si>
    <t>Remaining</t>
  </si>
  <si>
    <t>Need to Farm1.1</t>
  </si>
  <si>
    <t>Need to Farm1.2</t>
  </si>
  <si>
    <t>Need to Farm1.3</t>
  </si>
  <si>
    <t>Need to Farm1.4</t>
  </si>
  <si>
    <t>Need to Farm2.1</t>
  </si>
  <si>
    <t>Need to Farm2.2</t>
  </si>
  <si>
    <t>Need to Farm2.3</t>
  </si>
  <si>
    <t>Need to Farm2.4</t>
  </si>
  <si>
    <t>Need to Farm3.1</t>
  </si>
  <si>
    <t>Need to Farm3.2</t>
  </si>
  <si>
    <t>Need to Farm3.3</t>
  </si>
  <si>
    <t>Need to Farm3.4</t>
  </si>
  <si>
    <t>Characters</t>
  </si>
  <si>
    <t>WorldBoss</t>
  </si>
  <si>
    <t>WeeklyBoss</t>
  </si>
  <si>
    <t>3Star</t>
  </si>
  <si>
    <t>2Star</t>
  </si>
  <si>
    <t>1Star</t>
  </si>
  <si>
    <t>TalentBooks</t>
  </si>
  <si>
    <t>Misc</t>
  </si>
  <si>
    <t>WeaponMaterials</t>
  </si>
  <si>
    <r>
      <rPr>
        <sz val="1"/>
        <color theme="0"/>
        <rFont val="HYWenHei-85W"/>
        <family val="1"/>
      </rPr>
      <t xml:space="preserve">
</t>
    </r>
    <r>
      <rPr>
        <sz val="9"/>
        <color theme="0"/>
        <rFont val="HYWenHei-85W"/>
        <family val="1"/>
      </rPr>
      <t>Level</t>
    </r>
  </si>
  <si>
    <r>
      <rPr>
        <sz val="1"/>
        <color theme="0"/>
        <rFont val="HYWenHei-85W"/>
        <family val="1"/>
      </rPr>
      <t xml:space="preserve">
</t>
    </r>
    <r>
      <rPr>
        <sz val="9"/>
        <color theme="0"/>
        <rFont val="HYWenHei-85W"/>
        <family val="1"/>
      </rPr>
      <t>NA</t>
    </r>
  </si>
  <si>
    <r>
      <rPr>
        <sz val="1"/>
        <color theme="0"/>
        <rFont val="HYWenHei-85W"/>
        <family val="1"/>
      </rPr>
      <t xml:space="preserve">
</t>
    </r>
    <r>
      <rPr>
        <sz val="9"/>
        <color theme="0"/>
        <rFont val="HYWenHei-85W"/>
        <family val="1"/>
      </rPr>
      <t>Skill</t>
    </r>
  </si>
  <si>
    <r>
      <rPr>
        <sz val="1"/>
        <color theme="0"/>
        <rFont val="HYWenHei-85W"/>
        <family val="1"/>
      </rPr>
      <t xml:space="preserve">
</t>
    </r>
    <r>
      <rPr>
        <sz val="9"/>
        <color theme="0"/>
        <rFont val="HYWenHei-85W"/>
        <family val="1"/>
      </rPr>
      <t>Burst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</si>
</sst>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_(* #,##0_);_(* \(#,##0\);_(* &quot;-&quot;??_);_(@_)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26"/>
      <color theme="0"/>
      <name val="HYWenHei-85W"/>
      <family val="1"/>
    </font>
    <font>
      <sz val="11"/>
      <color theme="1"/>
      <name val="HYWenHei-85W"/>
      <family val="1"/>
    </font>
    <font>
      <b/>
      <sz val="11"/>
      <color theme="0"/>
      <name val="HYWenHei-85W"/>
      <family val="1"/>
    </font>
    <font>
      <sz val="11"/>
      <color theme="4"/>
      <name val="HYWenHei-85W"/>
      <family val="1"/>
    </font>
    <font>
      <b/>
      <sz val="11"/>
      <color rgb="FF006100"/>
      <name val="HYWenHei-85W"/>
      <family val="1"/>
    </font>
    <font>
      <b/>
      <sz val="11"/>
      <color theme="4"/>
      <name val="HYWenHei-85W"/>
      <family val="1"/>
    </font>
    <font>
      <b/>
      <sz val="11"/>
      <name val="HYWenHei-85W"/>
      <family val="1"/>
    </font>
    <font>
      <sz val="11"/>
      <name val="HYWenHei-85W"/>
      <family val="1"/>
    </font>
    <font>
      <b/>
      <sz val="11"/>
      <color rgb="FF9C5700"/>
      <name val="HYWenHei-85W"/>
      <family val="1"/>
    </font>
    <font>
      <sz val="10"/>
      <color theme="0"/>
      <name val="HYWenHei-85W"/>
      <family val="1"/>
    </font>
    <font>
      <b/>
      <sz val="10"/>
      <color theme="0"/>
      <name val="HYWenHei-85W"/>
      <family val="1"/>
    </font>
    <font>
      <sz val="9"/>
      <color theme="0"/>
      <name val="HYWenHei-85W"/>
      <family val="1"/>
    </font>
    <font>
      <b/>
      <sz val="20"/>
      <color theme="4"/>
      <name val="HYWenHei-85W"/>
      <family val="1"/>
    </font>
    <font>
      <u/>
      <sz val="11"/>
      <color theme="10"/>
      <name val="HYWenHei-85W"/>
      <family val="1"/>
    </font>
    <font>
      <sz val="1"/>
      <color theme="0"/>
      <name val="HYWenHei-85W"/>
      <family val="1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8" borderId="0" applyNumberFormat="0" applyBorder="0" applyAlignment="0" applyProtection="0"/>
  </cellStyleXfs>
  <cellXfs count="21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4" borderId="12" xfId="2" applyBorder="1" applyAlignment="1">
      <alignment vertical="center"/>
    </xf>
    <xf numFmtId="0" fontId="6" fillId="3" borderId="13" xfId="1" applyBorder="1" applyAlignment="1" applyProtection="1">
      <alignment vertical="center"/>
      <protection locked="0"/>
    </xf>
    <xf numFmtId="0" fontId="7" fillId="4" borderId="14" xfId="2" applyBorder="1" applyAlignment="1">
      <alignment vertical="center"/>
    </xf>
    <xf numFmtId="164" fontId="6" fillId="3" borderId="15" xfId="1" applyNumberFormat="1" applyBorder="1" applyAlignment="1">
      <alignment horizontal="left" vertical="center"/>
    </xf>
    <xf numFmtId="0" fontId="6" fillId="3" borderId="15" xfId="1" applyBorder="1" applyAlignment="1">
      <alignment vertical="center"/>
    </xf>
    <xf numFmtId="0" fontId="7" fillId="4" borderId="20" xfId="2" applyBorder="1" applyAlignment="1">
      <alignment vertical="center"/>
    </xf>
    <xf numFmtId="0" fontId="6" fillId="3" borderId="21" xfId="1" applyBorder="1" applyAlignment="1">
      <alignment vertical="center"/>
    </xf>
    <xf numFmtId="0" fontId="7" fillId="4" borderId="22" xfId="2" applyBorder="1" applyAlignment="1">
      <alignment vertical="center"/>
    </xf>
    <xf numFmtId="0" fontId="6" fillId="3" borderId="23" xfId="1" applyBorder="1" applyAlignment="1">
      <alignment vertical="center"/>
    </xf>
    <xf numFmtId="0" fontId="6" fillId="3" borderId="13" xfId="1" applyBorder="1" applyAlignment="1">
      <alignment vertical="center"/>
    </xf>
    <xf numFmtId="0" fontId="8" fillId="0" borderId="0" xfId="3" applyAlignment="1" applyProtection="1">
      <alignment vertical="center"/>
    </xf>
    <xf numFmtId="0" fontId="7" fillId="4" borderId="18" xfId="2" applyBorder="1" applyAlignment="1">
      <alignment vertical="center"/>
    </xf>
    <xf numFmtId="0" fontId="6" fillId="3" borderId="19" xfId="1" applyBorder="1" applyAlignment="1">
      <alignment vertical="center"/>
    </xf>
    <xf numFmtId="0" fontId="7" fillId="4" borderId="16" xfId="2" applyBorder="1" applyAlignment="1">
      <alignment vertical="center"/>
    </xf>
    <xf numFmtId="0" fontId="6" fillId="3" borderId="17" xfId="1" applyBorder="1" applyAlignment="1">
      <alignment vertical="center"/>
    </xf>
    <xf numFmtId="49" fontId="0" fillId="0" borderId="0" xfId="0" applyNumberFormat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6" fillId="3" borderId="0" xfId="1" applyFont="1" applyAlignment="1">
      <alignment horizontal="center" vertical="center"/>
    </xf>
    <xf numFmtId="0" fontId="16" fillId="3" borderId="0" xfId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65" fontId="16" fillId="3" borderId="0" xfId="1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8" fillId="0" borderId="28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/>
    </xf>
    <xf numFmtId="164" fontId="19" fillId="0" borderId="30" xfId="0" applyNumberFormat="1" applyFont="1" applyBorder="1" applyAlignment="1">
      <alignment horizontal="center" vertical="center"/>
    </xf>
    <xf numFmtId="0" fontId="16" fillId="3" borderId="33" xfId="1" applyFont="1" applyBorder="1" applyAlignment="1">
      <alignment horizontal="center" vertical="center"/>
    </xf>
    <xf numFmtId="0" fontId="16" fillId="3" borderId="21" xfId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" fontId="19" fillId="0" borderId="29" xfId="0" applyNumberFormat="1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9" fillId="5" borderId="30" xfId="0" applyFont="1" applyFill="1" applyBorder="1" applyAlignment="1">
      <alignment horizontal="center" vertical="center"/>
    </xf>
    <xf numFmtId="1" fontId="19" fillId="0" borderId="32" xfId="0" applyNumberFormat="1" applyFont="1" applyBorder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1" fontId="19" fillId="5" borderId="29" xfId="0" applyNumberFormat="1" applyFont="1" applyFill="1" applyBorder="1" applyAlignment="1">
      <alignment horizontal="center" vertical="center"/>
    </xf>
    <xf numFmtId="1" fontId="19" fillId="5" borderId="30" xfId="0" applyNumberFormat="1" applyFont="1" applyFill="1" applyBorder="1" applyAlignment="1">
      <alignment horizontal="center" vertical="center"/>
    </xf>
    <xf numFmtId="1" fontId="19" fillId="5" borderId="32" xfId="0" applyNumberFormat="1" applyFont="1" applyFill="1" applyBorder="1" applyAlignment="1">
      <alignment horizontal="center" vertical="center"/>
    </xf>
    <xf numFmtId="0" fontId="19" fillId="5" borderId="32" xfId="0" applyFont="1" applyFill="1" applyBorder="1" applyAlignment="1">
      <alignment horizontal="center" vertical="center"/>
    </xf>
    <xf numFmtId="0" fontId="19" fillId="5" borderId="33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9" fillId="5" borderId="20" xfId="0" applyFont="1" applyFill="1" applyBorder="1" applyAlignment="1">
      <alignment horizontal="center" vertical="center"/>
    </xf>
    <xf numFmtId="0" fontId="19" fillId="5" borderId="21" xfId="0" applyFont="1" applyFill="1" applyBorder="1" applyAlignment="1">
      <alignment horizontal="center" vertical="center"/>
    </xf>
    <xf numFmtId="1" fontId="19" fillId="5" borderId="20" xfId="0" applyNumberFormat="1" applyFont="1" applyFill="1" applyBorder="1" applyAlignment="1">
      <alignment horizontal="center" vertical="center"/>
    </xf>
    <xf numFmtId="1" fontId="19" fillId="5" borderId="0" xfId="0" applyNumberFormat="1" applyFont="1" applyFill="1" applyAlignment="1">
      <alignment horizontal="center" vertical="center"/>
    </xf>
    <xf numFmtId="1" fontId="19" fillId="5" borderId="21" xfId="0" applyNumberFormat="1" applyFont="1" applyFill="1" applyBorder="1" applyAlignment="1">
      <alignment horizontal="center" vertical="center"/>
    </xf>
    <xf numFmtId="1" fontId="18" fillId="5" borderId="20" xfId="0" applyNumberFormat="1" applyFont="1" applyFill="1" applyBorder="1" applyAlignment="1">
      <alignment horizontal="center" vertical="center"/>
    </xf>
    <xf numFmtId="1" fontId="18" fillId="5" borderId="0" xfId="0" applyNumberFormat="1" applyFont="1" applyFill="1" applyAlignment="1">
      <alignment horizontal="center" vertical="center"/>
    </xf>
    <xf numFmtId="1" fontId="18" fillId="5" borderId="21" xfId="0" applyNumberFormat="1" applyFont="1" applyFill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4" fontId="19" fillId="0" borderId="21" xfId="0" applyNumberFormat="1" applyFont="1" applyBorder="1" applyAlignment="1">
      <alignment horizontal="center" vertical="center"/>
    </xf>
    <xf numFmtId="0" fontId="20" fillId="8" borderId="20" xfId="5" applyFont="1" applyBorder="1" applyAlignment="1">
      <alignment horizontal="center" vertical="center"/>
    </xf>
    <xf numFmtId="0" fontId="20" fillId="8" borderId="0" xfId="5" applyFont="1" applyBorder="1" applyAlignment="1">
      <alignment horizontal="center" vertical="center"/>
    </xf>
    <xf numFmtId="0" fontId="20" fillId="8" borderId="21" xfId="5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1" fontId="19" fillId="0" borderId="33" xfId="0" applyNumberFormat="1" applyFont="1" applyBorder="1" applyAlignment="1">
      <alignment horizontal="center" vertical="center"/>
    </xf>
    <xf numFmtId="1" fontId="19" fillId="0" borderId="21" xfId="0" applyNumberFormat="1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1" fontId="19" fillId="0" borderId="20" xfId="0" applyNumberFormat="1" applyFont="1" applyBorder="1" applyAlignment="1">
      <alignment horizontal="center" vertical="center"/>
    </xf>
    <xf numFmtId="1" fontId="18" fillId="0" borderId="20" xfId="0" applyNumberFormat="1" applyFont="1" applyBorder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1" fontId="18" fillId="0" borderId="21" xfId="0" applyNumberFormat="1" applyFont="1" applyBorder="1" applyAlignment="1">
      <alignment horizontal="center" vertical="center"/>
    </xf>
    <xf numFmtId="1" fontId="19" fillId="5" borderId="33" xfId="0" applyNumberFormat="1" applyFont="1" applyFill="1" applyBorder="1" applyAlignment="1">
      <alignment horizontal="center" vertical="center"/>
    </xf>
    <xf numFmtId="0" fontId="16" fillId="3" borderId="0" xfId="1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/>
    </xf>
    <xf numFmtId="164" fontId="19" fillId="0" borderId="23" xfId="0" applyNumberFormat="1" applyFont="1" applyBorder="1" applyAlignment="1">
      <alignment horizontal="center" vertical="center"/>
    </xf>
    <xf numFmtId="0" fontId="16" fillId="3" borderId="34" xfId="1" applyFont="1" applyBorder="1" applyAlignment="1">
      <alignment horizontal="center" vertical="center"/>
    </xf>
    <xf numFmtId="0" fontId="16" fillId="3" borderId="31" xfId="1" applyFont="1" applyBorder="1" applyAlignment="1">
      <alignment horizontal="center" vertical="center"/>
    </xf>
    <xf numFmtId="0" fontId="16" fillId="3" borderId="23" xfId="1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1" fontId="19" fillId="0" borderId="26" xfId="0" applyNumberFormat="1" applyFont="1" applyBorder="1" applyAlignment="1">
      <alignment horizontal="center" vertical="center"/>
    </xf>
    <xf numFmtId="1" fontId="19" fillId="0" borderId="27" xfId="0" applyNumberFormat="1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1" fontId="19" fillId="0" borderId="25" xfId="0" applyNumberFormat="1" applyFont="1" applyBorder="1" applyAlignment="1">
      <alignment horizontal="center" vertical="center"/>
    </xf>
    <xf numFmtId="1" fontId="18" fillId="0" borderId="26" xfId="0" applyNumberFormat="1" applyFont="1" applyBorder="1" applyAlignment="1">
      <alignment horizontal="center" vertical="center"/>
    </xf>
    <xf numFmtId="1" fontId="18" fillId="0" borderId="27" xfId="0" applyNumberFormat="1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19" fillId="0" borderId="27" xfId="0" applyFont="1" applyBorder="1" applyAlignment="1">
      <alignment horizontal="center" vertical="center" wrapText="1"/>
    </xf>
    <xf numFmtId="3" fontId="18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3" fillId="0" borderId="22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3" fillId="6" borderId="24" xfId="0" applyFont="1" applyFill="1" applyBorder="1" applyAlignment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3" fontId="19" fillId="5" borderId="28" xfId="0" applyNumberFormat="1" applyFont="1" applyFill="1" applyBorder="1" applyAlignment="1">
      <alignment horizontal="right" vertical="center"/>
    </xf>
    <xf numFmtId="3" fontId="19" fillId="5" borderId="29" xfId="0" applyNumberFormat="1" applyFont="1" applyFill="1" applyBorder="1" applyAlignment="1">
      <alignment horizontal="right" vertical="center"/>
    </xf>
    <xf numFmtId="3" fontId="19" fillId="5" borderId="30" xfId="0" applyNumberFormat="1" applyFont="1" applyFill="1" applyBorder="1" applyAlignment="1">
      <alignment horizontal="right" vertical="center"/>
    </xf>
    <xf numFmtId="3" fontId="19" fillId="0" borderId="20" xfId="0" applyNumberFormat="1" applyFont="1" applyBorder="1" applyAlignment="1">
      <alignment horizontal="right" vertical="center"/>
    </xf>
    <xf numFmtId="3" fontId="19" fillId="0" borderId="0" xfId="0" applyNumberFormat="1" applyFont="1" applyAlignment="1">
      <alignment horizontal="right" vertical="center"/>
    </xf>
    <xf numFmtId="3" fontId="19" fillId="0" borderId="21" xfId="0" applyNumberFormat="1" applyFont="1" applyBorder="1" applyAlignment="1">
      <alignment horizontal="right" vertical="center"/>
    </xf>
    <xf numFmtId="3" fontId="19" fillId="5" borderId="20" xfId="0" applyNumberFormat="1" applyFont="1" applyFill="1" applyBorder="1" applyAlignment="1">
      <alignment horizontal="right" vertical="center"/>
    </xf>
    <xf numFmtId="3" fontId="19" fillId="5" borderId="0" xfId="0" applyNumberFormat="1" applyFont="1" applyFill="1" applyAlignment="1">
      <alignment horizontal="right" vertical="center"/>
    </xf>
    <xf numFmtId="3" fontId="19" fillId="5" borderId="21" xfId="0" applyNumberFormat="1" applyFont="1" applyFill="1" applyBorder="1" applyAlignment="1">
      <alignment horizontal="right" vertical="center"/>
    </xf>
    <xf numFmtId="3" fontId="19" fillId="0" borderId="25" xfId="0" applyNumberFormat="1" applyFont="1" applyBorder="1" applyAlignment="1">
      <alignment horizontal="right" vertical="center"/>
    </xf>
    <xf numFmtId="3" fontId="19" fillId="0" borderId="26" xfId="0" applyNumberFormat="1" applyFont="1" applyBorder="1" applyAlignment="1">
      <alignment horizontal="right" vertical="center"/>
    </xf>
    <xf numFmtId="3" fontId="19" fillId="0" borderId="27" xfId="0" applyNumberFormat="1" applyFont="1" applyBorder="1" applyAlignment="1">
      <alignment horizontal="right" vertical="center"/>
    </xf>
    <xf numFmtId="0" fontId="22" fillId="6" borderId="32" xfId="0" applyFont="1" applyFill="1" applyBorder="1" applyAlignment="1">
      <alignment horizontal="center" vertical="center" wrapText="1"/>
    </xf>
    <xf numFmtId="0" fontId="22" fillId="2" borderId="26" xfId="0" applyFont="1" applyFill="1" applyBorder="1" applyAlignment="1">
      <alignment horizontal="center" vertical="center" wrapText="1"/>
    </xf>
    <xf numFmtId="0" fontId="22" fillId="2" borderId="27" xfId="0" applyFont="1" applyFill="1" applyBorder="1" applyAlignment="1">
      <alignment vertical="center" wrapText="1"/>
    </xf>
    <xf numFmtId="0" fontId="13" fillId="0" borderId="25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4" fillId="2" borderId="29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7" fillId="2" borderId="31" xfId="0" applyFont="1" applyFill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164" fontId="13" fillId="0" borderId="2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1" fontId="13" fillId="0" borderId="31" xfId="0" applyNumberFormat="1" applyFont="1" applyBorder="1" applyAlignment="1">
      <alignment horizontal="center" vertical="center"/>
    </xf>
    <xf numFmtId="164" fontId="13" fillId="0" borderId="23" xfId="0" applyNumberFormat="1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  <xf numFmtId="0" fontId="14" fillId="6" borderId="32" xfId="0" applyFont="1" applyFill="1" applyBorder="1" applyAlignment="1">
      <alignment horizontal="center" vertical="center"/>
    </xf>
    <xf numFmtId="0" fontId="14" fillId="2" borderId="24" xfId="0" applyFont="1" applyFill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 wrapText="1"/>
    </xf>
    <xf numFmtId="0" fontId="25" fillId="0" borderId="0" xfId="4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5" fillId="0" borderId="23" xfId="0" applyFont="1" applyBorder="1" applyAlignment="1">
      <alignment horizontal="center" vertical="center" wrapText="1"/>
    </xf>
    <xf numFmtId="0" fontId="14" fillId="6" borderId="41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164" fontId="13" fillId="0" borderId="20" xfId="0" applyNumberFormat="1" applyFont="1" applyBorder="1" applyAlignment="1">
      <alignment horizontal="center" vertical="center"/>
    </xf>
    <xf numFmtId="0" fontId="14" fillId="6" borderId="28" xfId="0" applyFont="1" applyFill="1" applyBorder="1" applyAlignment="1">
      <alignment horizontal="center" vertical="center" wrapText="1"/>
    </xf>
    <xf numFmtId="0" fontId="14" fillId="6" borderId="29" xfId="0" applyFont="1" applyFill="1" applyBorder="1" applyAlignment="1">
      <alignment horizontal="center" vertical="center" wrapText="1"/>
    </xf>
    <xf numFmtId="0" fontId="14" fillId="6" borderId="30" xfId="0" applyFont="1" applyFill="1" applyBorder="1" applyAlignment="1">
      <alignment horizontal="center" vertical="center" wrapText="1"/>
    </xf>
    <xf numFmtId="0" fontId="23" fillId="0" borderId="25" xfId="0" applyFont="1" applyBorder="1" applyAlignment="1">
      <alignment horizontal="center" vertical="top" wrapText="1"/>
    </xf>
    <xf numFmtId="0" fontId="23" fillId="0" borderId="26" xfId="0" applyFont="1" applyBorder="1" applyAlignment="1">
      <alignment horizontal="center" vertical="top" wrapText="1"/>
    </xf>
    <xf numFmtId="0" fontId="23" fillId="0" borderId="27" xfId="0" applyFont="1" applyBorder="1" applyAlignment="1">
      <alignment horizontal="center" vertical="top" wrapText="1"/>
    </xf>
    <xf numFmtId="0" fontId="9" fillId="3" borderId="0" xfId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22" fillId="2" borderId="25" xfId="0" applyFont="1" applyFill="1" applyBorder="1" applyAlignment="1">
      <alignment horizontal="right" vertical="center" wrapText="1"/>
    </xf>
    <xf numFmtId="0" fontId="22" fillId="2" borderId="26" xfId="0" applyFont="1" applyFill="1" applyBorder="1" applyAlignment="1">
      <alignment horizontal="right" vertical="center" wrapText="1"/>
    </xf>
    <xf numFmtId="0" fontId="22" fillId="2" borderId="26" xfId="0" applyFont="1" applyFill="1" applyBorder="1" applyAlignment="1">
      <alignment horizontal="center" vertical="center" wrapText="1"/>
    </xf>
    <xf numFmtId="0" fontId="22" fillId="2" borderId="27" xfId="0" applyFont="1" applyFill="1" applyBorder="1" applyAlignment="1">
      <alignment horizontal="center" vertical="center" wrapText="1"/>
    </xf>
    <xf numFmtId="0" fontId="22" fillId="2" borderId="25" xfId="0" applyFont="1" applyFill="1" applyBorder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4" fillId="7" borderId="35" xfId="0" applyFont="1" applyFill="1" applyBorder="1" applyAlignment="1">
      <alignment horizontal="center" vertical="center"/>
    </xf>
    <xf numFmtId="0" fontId="24" fillId="7" borderId="36" xfId="0" applyFont="1" applyFill="1" applyBorder="1" applyAlignment="1">
      <alignment horizontal="center" vertical="center"/>
    </xf>
    <xf numFmtId="0" fontId="24" fillId="7" borderId="37" xfId="0" applyFont="1" applyFill="1" applyBorder="1" applyAlignment="1">
      <alignment horizontal="center" vertical="center"/>
    </xf>
    <xf numFmtId="0" fontId="22" fillId="2" borderId="28" xfId="0" applyFont="1" applyFill="1" applyBorder="1" applyAlignment="1">
      <alignment horizontal="center" vertical="center" wrapText="1"/>
    </xf>
    <xf numFmtId="0" fontId="22" fillId="2" borderId="29" xfId="0" applyFont="1" applyFill="1" applyBorder="1" applyAlignment="1">
      <alignment horizontal="center" vertical="center" wrapText="1"/>
    </xf>
    <xf numFmtId="0" fontId="22" fillId="2" borderId="30" xfId="0" applyFont="1" applyFill="1" applyBorder="1" applyAlignment="1">
      <alignment horizontal="center" vertical="center" wrapText="1"/>
    </xf>
    <xf numFmtId="0" fontId="12" fillId="2" borderId="28" xfId="0" applyFont="1" applyFill="1" applyBorder="1" applyAlignment="1">
      <alignment horizontal="center" vertical="center"/>
    </xf>
    <xf numFmtId="0" fontId="12" fillId="2" borderId="29" xfId="0" applyFont="1" applyFill="1" applyBorder="1" applyAlignment="1">
      <alignment horizontal="center" vertical="center"/>
    </xf>
    <xf numFmtId="0" fontId="12" fillId="2" borderId="30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4" fillId="2" borderId="29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2" fillId="2" borderId="25" xfId="0" applyFont="1" applyFill="1" applyBorder="1" applyAlignment="1">
      <alignment horizontal="center" vertical="center"/>
    </xf>
    <xf numFmtId="0" fontId="12" fillId="2" borderId="26" xfId="0" applyFont="1" applyFill="1" applyBorder="1" applyAlignment="1">
      <alignment horizontal="center" vertical="center"/>
    </xf>
    <xf numFmtId="0" fontId="12" fillId="2" borderId="27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</cellXfs>
  <cellStyles count="6">
    <cellStyle name="Bad" xfId="2" builtinId="27"/>
    <cellStyle name="Explanatory Text" xfId="3" builtinId="53"/>
    <cellStyle name="Good" xfId="1" builtinId="26"/>
    <cellStyle name="Hyperlink" xfId="4" builtinId="8"/>
    <cellStyle name="Neutral" xfId="5" builtinId="28"/>
    <cellStyle name="Normal" xfId="0" builtinId="0"/>
  </cellStyles>
  <dxfs count="4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righ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36CE"/>
      <color rgb="FF00398E"/>
      <color rgb="FF0000CC"/>
      <color rgb="FF006CEE"/>
      <color rgb="FF003AAE"/>
      <color rgb="FF057CFF"/>
      <color rgb="FF0038B4"/>
      <color rgb="FF1700C0"/>
      <color rgb="FF66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20/07/relationships/rdRichValueWebImage" Target="richData/rdRichValueWebImag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5.emf"/><Relationship Id="rId2" Type="http://schemas.openxmlformats.org/officeDocument/2006/relationships/image" Target="../media/image566.emf"/><Relationship Id="rId1" Type="http://schemas.openxmlformats.org/officeDocument/2006/relationships/image" Target="../media/image567.emf"/><Relationship Id="rId6" Type="http://schemas.openxmlformats.org/officeDocument/2006/relationships/image" Target="../media/image562.emf"/><Relationship Id="rId5" Type="http://schemas.openxmlformats.org/officeDocument/2006/relationships/image" Target="../media/image563.emf"/><Relationship Id="rId4" Type="http://schemas.openxmlformats.org/officeDocument/2006/relationships/image" Target="../media/image56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0.png"/><Relationship Id="rId2" Type="http://schemas.openxmlformats.org/officeDocument/2006/relationships/image" Target="../media/image569.png"/><Relationship Id="rId1" Type="http://schemas.openxmlformats.org/officeDocument/2006/relationships/image" Target="../media/image568.png"/><Relationship Id="rId4" Type="http://schemas.openxmlformats.org/officeDocument/2006/relationships/image" Target="../media/image57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24</xdr:row>
          <xdr:rowOff>66675</xdr:rowOff>
        </xdr:from>
        <xdr:to>
          <xdr:col>7</xdr:col>
          <xdr:colOff>1009650</xdr:colOff>
          <xdr:row>26</xdr:row>
          <xdr:rowOff>38100</xdr:rowOff>
        </xdr:to>
        <xdr:sp macro="" textlink="">
          <xdr:nvSpPr>
            <xdr:cNvPr id="3080" name="SummeryTable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24</xdr:row>
          <xdr:rowOff>66675</xdr:rowOff>
        </xdr:from>
        <xdr:to>
          <xdr:col>4</xdr:col>
          <xdr:colOff>1009650</xdr:colOff>
          <xdr:row>26</xdr:row>
          <xdr:rowOff>38100</xdr:rowOff>
        </xdr:to>
        <xdr:sp macro="" textlink="">
          <xdr:nvSpPr>
            <xdr:cNvPr id="3090" name="AscensionMob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24</xdr:row>
          <xdr:rowOff>66675</xdr:rowOff>
        </xdr:from>
        <xdr:to>
          <xdr:col>1</xdr:col>
          <xdr:colOff>1009650</xdr:colOff>
          <xdr:row>26</xdr:row>
          <xdr:rowOff>38100</xdr:rowOff>
        </xdr:to>
        <xdr:sp macro="" textlink="">
          <xdr:nvSpPr>
            <xdr:cNvPr id="3091" name="AscensionFlow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47625</xdr:rowOff>
        </xdr:from>
        <xdr:to>
          <xdr:col>7</xdr:col>
          <xdr:colOff>1019175</xdr:colOff>
          <xdr:row>13</xdr:row>
          <xdr:rowOff>19050</xdr:rowOff>
        </xdr:to>
        <xdr:sp macro="" textlink="">
          <xdr:nvSpPr>
            <xdr:cNvPr id="3102" name="WeeklyBoss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11</xdr:row>
          <xdr:rowOff>47625</xdr:rowOff>
        </xdr:from>
        <xdr:to>
          <xdr:col>4</xdr:col>
          <xdr:colOff>1009650</xdr:colOff>
          <xdr:row>13</xdr:row>
          <xdr:rowOff>19050</xdr:rowOff>
        </xdr:to>
        <xdr:sp macro="" textlink="">
          <xdr:nvSpPr>
            <xdr:cNvPr id="3103" name="TalentBook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11</xdr:row>
          <xdr:rowOff>47625</xdr:rowOff>
        </xdr:from>
        <xdr:to>
          <xdr:col>1</xdr:col>
          <xdr:colOff>981075</xdr:colOff>
          <xdr:row>13</xdr:row>
          <xdr:rowOff>9525</xdr:rowOff>
        </xdr:to>
        <xdr:sp macro="" textlink="">
          <xdr:nvSpPr>
            <xdr:cNvPr id="3104" name="WorldBoss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32656</xdr:colOff>
      <xdr:row>1</xdr:row>
      <xdr:rowOff>260685</xdr:rowOff>
    </xdr:from>
    <xdr:to>
      <xdr:col>15</xdr:col>
      <xdr:colOff>533399</xdr:colOff>
      <xdr:row>1</xdr:row>
      <xdr:rowOff>518613</xdr:rowOff>
    </xdr:to>
    <xdr:sp macro="[0]!ShowInputForm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Aspect="1"/>
        </xdr:cNvSpPr>
      </xdr:nvSpPr>
      <xdr:spPr>
        <a:xfrm>
          <a:off x="6640285" y="690671"/>
          <a:ext cx="2215243" cy="257928"/>
        </a:xfrm>
        <a:prstGeom prst="roundRect">
          <a:avLst>
            <a:gd name="adj" fmla="val 19349"/>
          </a:avLst>
        </a:prstGeom>
        <a:gradFill flip="none" rotWithShape="1">
          <a:gsLst>
            <a:gs pos="0">
              <a:srgbClr val="0000CC"/>
            </a:gs>
            <a:gs pos="50000">
              <a:srgbClr val="0036CE"/>
            </a:gs>
            <a:gs pos="100000">
              <a:srgbClr val="0036CE"/>
            </a:gs>
          </a:gsLst>
          <a:lin ang="2700000" scaled="1"/>
          <a:tileRect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HYWenHei-85W" panose="00020600040101010101" pitchFamily="18" charset="-128"/>
              <a:ea typeface="HYWenHei-85W" panose="00020600040101010101" pitchFamily="18" charset="-128"/>
              <a:cs typeface="HYWenHei-85W" panose="00020600040101010101" pitchFamily="18" charset="-128"/>
            </a:rPr>
            <a:t>Click here to Set Target Level</a:t>
          </a:r>
          <a:endParaRPr lang="en-US" sz="1050" b="1">
            <a:solidFill>
              <a:schemeClr val="lt1"/>
            </a:solidFill>
            <a:effectLst>
              <a:innerShdw blurRad="63500" dist="50800" dir="2700000">
                <a:prstClr val="black">
                  <a:alpha val="50000"/>
                </a:prstClr>
              </a:innerShdw>
            </a:effectLst>
            <a:latin typeface="HYWenHei-85W" panose="00020600040101010101" pitchFamily="18" charset="-128"/>
            <a:ea typeface="HYWenHei-85W" panose="00020600040101010101" pitchFamily="18" charset="-128"/>
            <a:cs typeface="HYWenHei-85W" panose="00020600040101010101" pitchFamily="18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76351</xdr:colOff>
      <xdr:row>0</xdr:row>
      <xdr:rowOff>66860</xdr:rowOff>
    </xdr:from>
    <xdr:to>
      <xdr:col>19</xdr:col>
      <xdr:colOff>488306</xdr:colOff>
      <xdr:row>0</xdr:row>
      <xdr:rowOff>324035</xdr:rowOff>
    </xdr:to>
    <xdr:sp macro="[0]!ShowAscens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spect="1"/>
        </xdr:cNvSpPr>
      </xdr:nvSpPr>
      <xdr:spPr>
        <a:xfrm>
          <a:off x="10041182" y="66860"/>
          <a:ext cx="983455" cy="257175"/>
        </a:xfrm>
        <a:prstGeom prst="roundRect">
          <a:avLst>
            <a:gd name="adj" fmla="val 19349"/>
          </a:avLst>
        </a:prstGeom>
        <a:gradFill flip="none" rotWithShape="1">
          <a:gsLst>
            <a:gs pos="0">
              <a:srgbClr val="00398E"/>
            </a:gs>
            <a:gs pos="50000">
              <a:srgbClr val="003AAE"/>
            </a:gs>
            <a:gs pos="100000">
              <a:srgbClr val="0036CE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Pos="5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HYWenHei-85W" panose="00020600040101010101" pitchFamily="18" charset="-128"/>
              <a:ea typeface="HYWenHei-85W" panose="00020600040101010101" pitchFamily="18" charset="-128"/>
              <a:cs typeface="HYWenHei-85W" panose="00020600040101010101" pitchFamily="18" charset="-128"/>
            </a:rPr>
            <a:t>Ascension</a:t>
          </a:r>
        </a:p>
      </xdr:txBody>
    </xdr:sp>
    <xdr:clientData/>
  </xdr:twoCellAnchor>
  <xdr:twoCellAnchor editAs="absolute">
    <xdr:from>
      <xdr:col>20</xdr:col>
      <xdr:colOff>30553</xdr:colOff>
      <xdr:row>0</xdr:row>
      <xdr:rowOff>66860</xdr:rowOff>
    </xdr:from>
    <xdr:to>
      <xdr:col>21</xdr:col>
      <xdr:colOff>442509</xdr:colOff>
      <xdr:row>0</xdr:row>
      <xdr:rowOff>324035</xdr:rowOff>
    </xdr:to>
    <xdr:sp macro="[0]!ShowTalen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>
          <a:spLocks noChangeAspect="1"/>
        </xdr:cNvSpPr>
      </xdr:nvSpPr>
      <xdr:spPr>
        <a:xfrm>
          <a:off x="11138384" y="66860"/>
          <a:ext cx="983456" cy="257175"/>
        </a:xfrm>
        <a:prstGeom prst="roundRect">
          <a:avLst>
            <a:gd name="adj" fmla="val 19349"/>
          </a:avLst>
        </a:prstGeom>
        <a:gradFill flip="none" rotWithShape="1">
          <a:gsLst>
            <a:gs pos="0">
              <a:srgbClr val="00398E"/>
            </a:gs>
            <a:gs pos="50000">
              <a:srgbClr val="003AAE"/>
            </a:gs>
            <a:gs pos="100000">
              <a:srgbClr val="0036CE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Pos="5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HYWenHei-85W" panose="00020600040101010101" pitchFamily="18" charset="-128"/>
              <a:ea typeface="HYWenHei-85W" panose="00020600040101010101" pitchFamily="18" charset="-128"/>
              <a:cs typeface="HYWenHei-85W" panose="00020600040101010101" pitchFamily="18" charset="-128"/>
            </a:rPr>
            <a:t>Talent</a:t>
          </a:r>
        </a:p>
      </xdr:txBody>
    </xdr:sp>
    <xdr:clientData/>
  </xdr:twoCellAnchor>
  <xdr:twoCellAnchor editAs="absolute">
    <xdr:from>
      <xdr:col>21</xdr:col>
      <xdr:colOff>556258</xdr:colOff>
      <xdr:row>0</xdr:row>
      <xdr:rowOff>66860</xdr:rowOff>
    </xdr:from>
    <xdr:to>
      <xdr:col>23</xdr:col>
      <xdr:colOff>396713</xdr:colOff>
      <xdr:row>0</xdr:row>
      <xdr:rowOff>324035</xdr:rowOff>
    </xdr:to>
    <xdr:sp macro="[0]!ShowTotal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>
          <a:spLocks noChangeAspect="1"/>
        </xdr:cNvSpPr>
      </xdr:nvSpPr>
      <xdr:spPr>
        <a:xfrm>
          <a:off x="12235589" y="66860"/>
          <a:ext cx="983455" cy="257175"/>
        </a:xfrm>
        <a:prstGeom prst="roundRect">
          <a:avLst>
            <a:gd name="adj" fmla="val 19349"/>
          </a:avLst>
        </a:prstGeom>
        <a:gradFill flip="none" rotWithShape="1">
          <a:gsLst>
            <a:gs pos="0">
              <a:srgbClr val="00398E"/>
            </a:gs>
            <a:gs pos="50000">
              <a:srgbClr val="003AAE"/>
            </a:gs>
            <a:gs pos="100000">
              <a:srgbClr val="0036CE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Pos="5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HYWenHei-85W" panose="00020600040101010101" pitchFamily="18" charset="-128"/>
              <a:ea typeface="HYWenHei-85W" panose="00020600040101010101" pitchFamily="18" charset="-128"/>
              <a:cs typeface="HYWenHei-85W" panose="00020600040101010101" pitchFamily="18" charset="-128"/>
            </a:rPr>
            <a:t>Total</a:t>
          </a:r>
        </a:p>
      </xdr:txBody>
    </xdr:sp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21" Type="http://schemas.openxmlformats.org/officeDocument/2006/relationships/hyperlink" Target="https://raw.githubusercontent.com/ItsCryp7iC/Genshin-Image-Hosting/main/WorldBoss/HurricaneSeed.png" TargetMode="External"/><Relationship Id="rId170" Type="http://schemas.openxmlformats.org/officeDocument/2006/relationships/image" Target="../media/image85.png"/><Relationship Id="rId268" Type="http://schemas.openxmlformats.org/officeDocument/2006/relationships/image" Target="../media/image134.png"/><Relationship Id="rId475" Type="http://schemas.openxmlformats.org/officeDocument/2006/relationships/hyperlink" Target="https://raw.githubusercontent.com/ItsCryp7iC/Genshin-Image-Hosting/main/WeaponMaterials/MistVeiledMercuryElixir.png" TargetMode="External"/><Relationship Id="rId682" Type="http://schemas.openxmlformats.org/officeDocument/2006/relationships/image" Target="../media/image339.png"/><Relationship Id="rId128" Type="http://schemas.openxmlformats.org/officeDocument/2006/relationships/image" Target="../media/image64.png"/><Relationship Id="rId335" Type="http://schemas.openxmlformats.org/officeDocument/2006/relationships/hyperlink" Target="https://raw.githubusercontent.com/ItsCryp7iC/Genshin-Image-Hosting/main/MonsterDrops/1Star/FadedRedSatin.png" TargetMode="External"/><Relationship Id="rId542" Type="http://schemas.openxmlformats.org/officeDocument/2006/relationships/image" Target="../media/image269.png"/><Relationship Id="rId987" Type="http://schemas.openxmlformats.org/officeDocument/2006/relationships/hyperlink" Target="https://raw.githubusercontent.com/ItsCryp7iC/Genshin-Image-Hosting/main/Weapons/RecurveBow.png" TargetMode="External"/><Relationship Id="rId402" Type="http://schemas.openxmlformats.org/officeDocument/2006/relationships/image" Target="../media/image201.png"/><Relationship Id="rId847" Type="http://schemas.openxmlformats.org/officeDocument/2006/relationships/hyperlink" Target="https://raw.githubusercontent.com/ItsCryp7iC/Genshin-Image-Hosting/main/Weapons/HarbingerofDawn.png" TargetMode="External"/><Relationship Id="rId1032" Type="http://schemas.openxmlformats.org/officeDocument/2006/relationships/image" Target="../media/image514.png"/><Relationship Id="rId707" Type="http://schemas.openxmlformats.org/officeDocument/2006/relationships/hyperlink" Target="https://raw.githubusercontent.com/ItsCryp7iC/Genshin-Image-Hosting/main/Characters/Yoimiya.png" TargetMode="External"/><Relationship Id="rId914" Type="http://schemas.openxmlformats.org/officeDocument/2006/relationships/image" Target="../media/image455.png"/><Relationship Id="rId43" Type="http://schemas.openxmlformats.org/officeDocument/2006/relationships/hyperlink" Target="https://raw.githubusercontent.com/ItsCryp7iC/Genshin-Image-Hosting/main/WeaponMaterials/TileofDecarabiansTower.png" TargetMode="External"/><Relationship Id="rId192" Type="http://schemas.openxmlformats.org/officeDocument/2006/relationships/image" Target="../media/image96.png"/><Relationship Id="rId497" Type="http://schemas.openxmlformats.org/officeDocument/2006/relationships/image" Target="../media/image248.png"/><Relationship Id="rId357" Type="http://schemas.openxmlformats.org/officeDocument/2006/relationships/hyperlink" Target="https://raw.githubusercontent.com/ItsCryp7iC/Genshin-Image-Hosting/main/LocalSpecialties/GlazeLily.png" TargetMode="External"/><Relationship Id="rId217" Type="http://schemas.openxmlformats.org/officeDocument/2006/relationships/hyperlink" Target="https://raw.githubusercontent.com/ItsCryp7iC/Genshin-Image-Hosting/main/Gems/AgnidusAgateChunk.png" TargetMode="External"/><Relationship Id="rId564" Type="http://schemas.openxmlformats.org/officeDocument/2006/relationships/image" Target="../media/image280.png"/><Relationship Id="rId771" Type="http://schemas.openxmlformats.org/officeDocument/2006/relationships/hyperlink" Target="https://raw.githubusercontent.com/ItsCryp7iC/Genshin-Image-Hosting/main/WeaponMaterials/OldenDaysofScorchingMight.png" TargetMode="External"/><Relationship Id="rId869" Type="http://schemas.openxmlformats.org/officeDocument/2006/relationships/hyperlink" Target="https://raw.githubusercontent.com/ItsCryp7iC/Genshin-Image-Hosting/main/Characters/ShikanoinHeizou.png" TargetMode="External"/><Relationship Id="rId424" Type="http://schemas.openxmlformats.org/officeDocument/2006/relationships/image" Target="../media/image212.png"/><Relationship Id="rId631" Type="http://schemas.openxmlformats.org/officeDocument/2006/relationships/hyperlink" Target="https://raw.githubusercontent.com/ItsCryp7iC/Genshin-Image-Hosting/main/Characters/Gorou.png" TargetMode="External"/><Relationship Id="rId729" Type="http://schemas.openxmlformats.org/officeDocument/2006/relationships/hyperlink" Target="https://raw.githubusercontent.com/ItsCryp7iC/Genshin-Image-Hosting/main/WeaponMaterials/OasisGardensKindness.png" TargetMode="External"/><Relationship Id="rId1054" Type="http://schemas.openxmlformats.org/officeDocument/2006/relationships/image" Target="../media/image525.png"/><Relationship Id="rId936" Type="http://schemas.openxmlformats.org/officeDocument/2006/relationships/image" Target="../media/image466.png"/><Relationship Id="rId1121" Type="http://schemas.openxmlformats.org/officeDocument/2006/relationships/hyperlink" Target="https://raw.githubusercontent.com/ItsCryp7iC/Genshin-Image-Hosting/main/Weapons/WolfFang.png" TargetMode="External"/><Relationship Id="rId65" Type="http://schemas.openxmlformats.org/officeDocument/2006/relationships/hyperlink" Target="https://raw.githubusercontent.com/ItsCryp7iC/Genshin-Image-Hosting/main/WeeklyBoss/DvalinsClaw.png" TargetMode="External"/><Relationship Id="rId281" Type="http://schemas.openxmlformats.org/officeDocument/2006/relationships/hyperlink" Target="https://raw.githubusercontent.com/ItsCryp7iC/Genshin-Image-Hosting/main/Gems/ShivadaJadeGemstone.png" TargetMode="External"/><Relationship Id="rId141" Type="http://schemas.openxmlformats.org/officeDocument/2006/relationships/hyperlink" Target="https://raw.githubusercontent.com/ItsCryp7iC/Genshin-Image-Hosting/main/MonsterDrops/3Star/WeatheredArrowhead.png" TargetMode="External"/><Relationship Id="rId379" Type="http://schemas.openxmlformats.org/officeDocument/2006/relationships/hyperlink" Target="https://raw.githubusercontent.com/ItsCryp7iC/Genshin-Image-Hosting/main/MonsterDrops/2Star/MechanicalSpurGear.png" TargetMode="External"/><Relationship Id="rId586" Type="http://schemas.openxmlformats.org/officeDocument/2006/relationships/image" Target="../media/image291.png"/><Relationship Id="rId793" Type="http://schemas.openxmlformats.org/officeDocument/2006/relationships/hyperlink" Target="https://raw.githubusercontent.com/ItsCryp7iC/Genshin-Image-Hosting/main/Weapons/FlowingPurity.png" TargetMode="External"/><Relationship Id="rId7" Type="http://schemas.openxmlformats.org/officeDocument/2006/relationships/hyperlink" Target="https://raw.githubusercontent.com/ItsCryp7iC/Genshin-Image-Hosting/main/Elements/geo.png" TargetMode="External"/><Relationship Id="rId239" Type="http://schemas.openxmlformats.org/officeDocument/2006/relationships/hyperlink" Target="https://raw.githubusercontent.com/ItsCryp7iC/Genshin-Image-Hosting/main/Gems/AgnidusAgateFragment.png" TargetMode="External"/><Relationship Id="rId446" Type="http://schemas.openxmlformats.org/officeDocument/2006/relationships/image" Target="../media/image223.png"/><Relationship Id="rId653" Type="http://schemas.openxmlformats.org/officeDocument/2006/relationships/hyperlink" Target="https://raw.githubusercontent.com/ItsCryp7iC/Genshin-Image-Hosting/main/TalentBooks/PhilosophiesofEquity.png" TargetMode="External"/><Relationship Id="rId1076" Type="http://schemas.openxmlformats.org/officeDocument/2006/relationships/image" Target="../media/image536.png"/><Relationship Id="rId306" Type="http://schemas.openxmlformats.org/officeDocument/2006/relationships/image" Target="../media/image153.png"/><Relationship Id="rId860" Type="http://schemas.openxmlformats.org/officeDocument/2006/relationships/image" Target="../media/image428.png"/><Relationship Id="rId958" Type="http://schemas.openxmlformats.org/officeDocument/2006/relationships/image" Target="../media/image477.png"/><Relationship Id="rId87" Type="http://schemas.openxmlformats.org/officeDocument/2006/relationships/hyperlink" Target="https://raw.githubusercontent.com/ItsCryp7iC/Genshin-Image-Hosting/main/Experience/FineEnhancementOre.png" TargetMode="External"/><Relationship Id="rId513" Type="http://schemas.openxmlformats.org/officeDocument/2006/relationships/hyperlink" Target="https://raw.githubusercontent.com/ItsCryp7iC/Genshin-Image-Hosting/main/Characters/TravelerDendro.png" TargetMode="External"/><Relationship Id="rId720" Type="http://schemas.openxmlformats.org/officeDocument/2006/relationships/image" Target="../media/image358.png"/><Relationship Id="rId818" Type="http://schemas.openxmlformats.org/officeDocument/2006/relationships/image" Target="../media/image407.png"/><Relationship Id="rId1003" Type="http://schemas.openxmlformats.org/officeDocument/2006/relationships/hyperlink" Target="https://raw.githubusercontent.com/ItsCryp7iC/Genshin-Image-Hosting/main/Weapons/Rust.png" TargetMode="External"/><Relationship Id="rId14" Type="http://schemas.openxmlformats.org/officeDocument/2006/relationships/image" Target="../media/image7.png"/><Relationship Id="rId163" Type="http://schemas.openxmlformats.org/officeDocument/2006/relationships/hyperlink" Target="https://raw.githubusercontent.com/ItsCryp7iC/Genshin-Image-Hosting/main/TalentBooks/PhilosophiesofJustice.png" TargetMode="External"/><Relationship Id="rId370" Type="http://schemas.openxmlformats.org/officeDocument/2006/relationships/image" Target="../media/image185.png"/><Relationship Id="rId230" Type="http://schemas.openxmlformats.org/officeDocument/2006/relationships/image" Target="../media/image115.png"/><Relationship Id="rId468" Type="http://schemas.openxmlformats.org/officeDocument/2006/relationships/image" Target="../media/image234.png"/><Relationship Id="rId675" Type="http://schemas.openxmlformats.org/officeDocument/2006/relationships/hyperlink" Target="https://raw.githubusercontent.com/ItsCryp7iC/Genshin-Image-Hosting/main/TalentBooks/TeachingsofPraxis.png" TargetMode="External"/><Relationship Id="rId882" Type="http://schemas.openxmlformats.org/officeDocument/2006/relationships/image" Target="../media/image439.png"/><Relationship Id="rId1098" Type="http://schemas.openxmlformats.org/officeDocument/2006/relationships/image" Target="../media/image547.png"/><Relationship Id="rId25" Type="http://schemas.openxmlformats.org/officeDocument/2006/relationships/hyperlink" Target="https://raw.githubusercontent.com/ItsCryp7iC/Genshin-Image-Hosting/main/MonsterDrops/3Star/SlimeConcentrate.png" TargetMode="External"/><Relationship Id="rId328" Type="http://schemas.openxmlformats.org/officeDocument/2006/relationships/image" Target="../media/image164.png"/><Relationship Id="rId535" Type="http://schemas.openxmlformats.org/officeDocument/2006/relationships/hyperlink" Target="https://raw.githubusercontent.com/ItsCryp7iC/Genshin-Image-Hosting/main/TalentBooks/TeachingsofElegance.png" TargetMode="External"/><Relationship Id="rId742" Type="http://schemas.openxmlformats.org/officeDocument/2006/relationships/image" Target="../media/image369.png"/><Relationship Id="rId174" Type="http://schemas.openxmlformats.org/officeDocument/2006/relationships/image" Target="../media/image87.png"/><Relationship Id="rId381" Type="http://schemas.openxmlformats.org/officeDocument/2006/relationships/hyperlink" Target="https://raw.githubusercontent.com/ItsCryp7iC/Genshin-Image-Hosting/main/MonsterDrops/1Star/MeshingGear.png" TargetMode="External"/><Relationship Id="rId602" Type="http://schemas.openxmlformats.org/officeDocument/2006/relationships/image" Target="../media/image299.png"/><Relationship Id="rId1025" Type="http://schemas.openxmlformats.org/officeDocument/2006/relationships/hyperlink" Target="https://raw.githubusercontent.com/ItsCryp7iC/Genshin-Image-Hosting/main/Weapons/SkyriderSword.png" TargetMode="External"/><Relationship Id="rId241" Type="http://schemas.openxmlformats.org/officeDocument/2006/relationships/hyperlink" Target="https://raw.githubusercontent.com/ItsCryp7iC/Genshin-Image-Hosting/main/Misc/options.png" TargetMode="External"/><Relationship Id="rId479" Type="http://schemas.openxmlformats.org/officeDocument/2006/relationships/hyperlink" Target="https://raw.githubusercontent.com/ItsCryp7iC/Genshin-Image-Hosting/main/WeeklyBoss/PuppetStrings.png" TargetMode="External"/><Relationship Id="rId686" Type="http://schemas.openxmlformats.org/officeDocument/2006/relationships/image" Target="../media/image341.png"/><Relationship Id="rId893" Type="http://schemas.openxmlformats.org/officeDocument/2006/relationships/hyperlink" Target="https://raw.githubusercontent.com/ItsCryp7iC/Genshin-Image-Hosting/main/Characters/Yanfei.png" TargetMode="External"/><Relationship Id="rId907" Type="http://schemas.openxmlformats.org/officeDocument/2006/relationships/hyperlink" Target="https://raw.githubusercontent.com/ItsCryp7iC/Genshin-Image-Hosting/main/Weapons/LostPrayertotheSacredWinds.png" TargetMode="External"/><Relationship Id="rId36" Type="http://schemas.openxmlformats.org/officeDocument/2006/relationships/image" Target="../media/image18.png"/><Relationship Id="rId339" Type="http://schemas.openxmlformats.org/officeDocument/2006/relationships/hyperlink" Target="https://raw.githubusercontent.com/ItsCryp7iC/Genshin-Image-Hosting/main/LocalSpecialties/SilkFlower.png" TargetMode="External"/><Relationship Id="rId546" Type="http://schemas.openxmlformats.org/officeDocument/2006/relationships/image" Target="../media/image271.png"/><Relationship Id="rId753" Type="http://schemas.openxmlformats.org/officeDocument/2006/relationships/hyperlink" Target="https://raw.githubusercontent.com/ItsCryp7iC/Genshin-Image-Hosting/main/WeaponMaterials/EchoofScorchingMight.png" TargetMode="External"/><Relationship Id="rId101" Type="http://schemas.openxmlformats.org/officeDocument/2006/relationships/hyperlink" Target="https://raw.githubusercontent.com/ItsCryp7iC/Genshin-Image-Hosting/main/Gems/AgnidusAgateGemstone.png" TargetMode="External"/><Relationship Id="rId185" Type="http://schemas.openxmlformats.org/officeDocument/2006/relationships/hyperlink" Target="https://raw.githubusercontent.com/ItsCryp7iC/Genshin-Image-Hosting/main/Misc/characters.png" TargetMode="External"/><Relationship Id="rId406" Type="http://schemas.openxmlformats.org/officeDocument/2006/relationships/image" Target="../media/image203.png"/><Relationship Id="rId960" Type="http://schemas.openxmlformats.org/officeDocument/2006/relationships/image" Target="../media/image478.png"/><Relationship Id="rId1036" Type="http://schemas.openxmlformats.org/officeDocument/2006/relationships/image" Target="../media/image516.png"/><Relationship Id="rId392" Type="http://schemas.openxmlformats.org/officeDocument/2006/relationships/image" Target="../media/image196.png"/><Relationship Id="rId613" Type="http://schemas.openxmlformats.org/officeDocument/2006/relationships/hyperlink" Target="https://raw.githubusercontent.com/ItsCryp7iC/Genshin-Image-Hosting/main/LocalSpecialties/KalpalataLotus.png" TargetMode="External"/><Relationship Id="rId697" Type="http://schemas.openxmlformats.org/officeDocument/2006/relationships/hyperlink" Target="https://raw.githubusercontent.com/ItsCryp7iC/Genshin-Image-Hosting/main/WeaponMaterials/IronTalismanoftheForestDew.png" TargetMode="External"/><Relationship Id="rId820" Type="http://schemas.openxmlformats.org/officeDocument/2006/relationships/image" Target="../media/image408.png"/><Relationship Id="rId918" Type="http://schemas.openxmlformats.org/officeDocument/2006/relationships/image" Target="../media/image457.png"/><Relationship Id="rId252" Type="http://schemas.openxmlformats.org/officeDocument/2006/relationships/image" Target="../media/image126.png"/><Relationship Id="rId1103" Type="http://schemas.openxmlformats.org/officeDocument/2006/relationships/hyperlink" Target="https://raw.githubusercontent.com/ItsCryp7iC/Genshin-Image-Hosting/main/Weapons/Verdict.png" TargetMode="External"/><Relationship Id="rId47" Type="http://schemas.openxmlformats.org/officeDocument/2006/relationships/hyperlink" Target="https://raw.githubusercontent.com/ItsCryp7iC/Genshin-Image-Hosting/main/Characters/Alhaitham.png" TargetMode="External"/><Relationship Id="rId112" Type="http://schemas.openxmlformats.org/officeDocument/2006/relationships/image" Target="../media/image56.png"/><Relationship Id="rId557" Type="http://schemas.openxmlformats.org/officeDocument/2006/relationships/hyperlink" Target="https://raw.githubusercontent.com/ItsCryp7iC/Genshin-Image-Hosting/main/WeeklyBoss/LightlessEyeoftheMaelstrom.png" TargetMode="External"/><Relationship Id="rId764" Type="http://schemas.openxmlformats.org/officeDocument/2006/relationships/image" Target="../media/image380.png"/><Relationship Id="rId971" Type="http://schemas.openxmlformats.org/officeDocument/2006/relationships/hyperlink" Target="https://raw.githubusercontent.com/ItsCryp7iC/Genshin-Image-Hosting/main/Weapons/PrototypeAmber.png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s://raw.githubusercontent.com/ItsCryp7iC/Genshin-Image-Hosting/main/WorldBoss/DragonheirsFalseFin.png" TargetMode="External"/><Relationship Id="rId624" Type="http://schemas.openxmlformats.org/officeDocument/2006/relationships/image" Target="../media/image310.png"/><Relationship Id="rId831" Type="http://schemas.openxmlformats.org/officeDocument/2006/relationships/hyperlink" Target="https://raw.githubusercontent.com/ItsCryp7iC/Genshin-Image-Hosting/main/WeaponMaterials/WineGobletofthePristineSea.png" TargetMode="External"/><Relationship Id="rId1047" Type="http://schemas.openxmlformats.org/officeDocument/2006/relationships/hyperlink" Target="https://raw.githubusercontent.com/ItsCryp7iC/Genshin-Image-Hosting/main/Weapons/SplendorofTranquilWaters.png" TargetMode="External"/><Relationship Id="rId263" Type="http://schemas.openxmlformats.org/officeDocument/2006/relationships/hyperlink" Target="https://raw.githubusercontent.com/ItsCryp7iC/Genshin-Image-Hosting/main/MonsterDrops/3Star/FamedHandguard.png" TargetMode="External"/><Relationship Id="rId470" Type="http://schemas.openxmlformats.org/officeDocument/2006/relationships/image" Target="../media/image235.png"/><Relationship Id="rId929" Type="http://schemas.openxmlformats.org/officeDocument/2006/relationships/hyperlink" Target="https://raw.githubusercontent.com/ItsCryp7iC/Genshin-Image-Hosting/main/Characters/Thoma.png" TargetMode="External"/><Relationship Id="rId1114" Type="http://schemas.openxmlformats.org/officeDocument/2006/relationships/image" Target="../media/image555.png"/><Relationship Id="rId58" Type="http://schemas.openxmlformats.org/officeDocument/2006/relationships/image" Target="../media/image29.png"/><Relationship Id="rId123" Type="http://schemas.openxmlformats.org/officeDocument/2006/relationships/hyperlink" Target="https://raw.githubusercontent.com/ItsCryp7iC/Genshin-Image-Hosting/main/WeaponMaterials/FragmentofDecarabiansEpic.png" TargetMode="External"/><Relationship Id="rId330" Type="http://schemas.openxmlformats.org/officeDocument/2006/relationships/image" Target="../media/image165.png"/><Relationship Id="rId568" Type="http://schemas.openxmlformats.org/officeDocument/2006/relationships/image" Target="../media/image282.png"/><Relationship Id="rId775" Type="http://schemas.openxmlformats.org/officeDocument/2006/relationships/hyperlink" Target="https://raw.githubusercontent.com/ItsCryp7iC/Genshin-Image-Hosting/main/Weapons/FilletBlade.png" TargetMode="External"/><Relationship Id="rId982" Type="http://schemas.openxmlformats.org/officeDocument/2006/relationships/image" Target="../media/image489.png"/><Relationship Id="rId428" Type="http://schemas.openxmlformats.org/officeDocument/2006/relationships/image" Target="../media/image214.png"/><Relationship Id="rId635" Type="http://schemas.openxmlformats.org/officeDocument/2006/relationships/hyperlink" Target="https://raw.githubusercontent.com/ItsCryp7iC/Genshin-Image-Hosting/main/Gems/PrithivaTopazSilver.png" TargetMode="External"/><Relationship Id="rId842" Type="http://schemas.openxmlformats.org/officeDocument/2006/relationships/image" Target="../media/image419.png"/><Relationship Id="rId1058" Type="http://schemas.openxmlformats.org/officeDocument/2006/relationships/image" Target="../media/image527.png"/><Relationship Id="rId274" Type="http://schemas.openxmlformats.org/officeDocument/2006/relationships/image" Target="../media/image137.png"/><Relationship Id="rId481" Type="http://schemas.openxmlformats.org/officeDocument/2006/relationships/hyperlink" Target="https://raw.githubusercontent.com/ItsCryp7iC/Genshin-Image-Hosting/main/Gems/VajradaAmethystFragment.png" TargetMode="External"/><Relationship Id="rId702" Type="http://schemas.openxmlformats.org/officeDocument/2006/relationships/image" Target="../media/image349.png"/><Relationship Id="rId1125" Type="http://schemas.openxmlformats.org/officeDocument/2006/relationships/hyperlink" Target="https://raw.githubusercontent.com/ItsCryp7iC/Genshin-Image-Hosting/main/Weapons/XiphosMoonlight.png" TargetMode="External"/><Relationship Id="rId69" Type="http://schemas.openxmlformats.org/officeDocument/2006/relationships/hyperlink" Target="https://raw.githubusercontent.com/ItsCryp7iC/Genshin-Image-Hosting/main/MonsterDrops/2Star/StainedMask.png" TargetMode="External"/><Relationship Id="rId134" Type="http://schemas.openxmlformats.org/officeDocument/2006/relationships/image" Target="../media/image67.png"/><Relationship Id="rId579" Type="http://schemas.openxmlformats.org/officeDocument/2006/relationships/hyperlink" Target="https://raw.githubusercontent.com/ItsCryp7iC/Genshin-Image-Hosting/main/Weapons/CrimsonMoonsSemblance.png" TargetMode="External"/><Relationship Id="rId786" Type="http://schemas.openxmlformats.org/officeDocument/2006/relationships/image" Target="../media/image391.png"/><Relationship Id="rId993" Type="http://schemas.openxmlformats.org/officeDocument/2006/relationships/hyperlink" Target="https://raw.githubusercontent.com/ItsCryp7iC/Genshin-Image-Hosting/main/Weapons/RoyalBow.png" TargetMode="External"/><Relationship Id="rId341" Type="http://schemas.openxmlformats.org/officeDocument/2006/relationships/hyperlink" Target="https://raw.githubusercontent.com/ItsCryp7iC/Genshin-Image-Hosting/main/Gems/VarunadaLazuriteFragment.png" TargetMode="External"/><Relationship Id="rId439" Type="http://schemas.openxmlformats.org/officeDocument/2006/relationships/hyperlink" Target="https://raw.githubusercontent.com/ItsCryp7iC/Genshin-Image-Hosting/main/Gems/NagadusEmeraldSilver.png" TargetMode="External"/><Relationship Id="rId646" Type="http://schemas.openxmlformats.org/officeDocument/2006/relationships/image" Target="../media/image321.png"/><Relationship Id="rId1069" Type="http://schemas.openxmlformats.org/officeDocument/2006/relationships/hyperlink" Target="https://raw.githubusercontent.com/ItsCryp7iC/Genshin-Image-Hosting/main/Weapons/TheDockhandsAssistant.png" TargetMode="External"/><Relationship Id="rId201" Type="http://schemas.openxmlformats.org/officeDocument/2006/relationships/hyperlink" Target="https://raw.githubusercontent.com/ItsCryp7iC/Genshin-Image-Hosting/main/MonsterDrops/3Star/EnergyNectar.png" TargetMode="External"/><Relationship Id="rId285" Type="http://schemas.openxmlformats.org/officeDocument/2006/relationships/hyperlink" Target="https://raw.githubusercontent.com/ItsCryp7iC/Genshin-Image-Hosting/main/MonsterDrops/2Star/SpectralHeart.png" TargetMode="External"/><Relationship Id="rId506" Type="http://schemas.openxmlformats.org/officeDocument/2006/relationships/image" Target="../media/image252.png"/><Relationship Id="rId853" Type="http://schemas.openxmlformats.org/officeDocument/2006/relationships/hyperlink" Target="https://raw.githubusercontent.com/ItsCryp7iC/Genshin-Image-Hosting/main/Characters/Nahida.png" TargetMode="External"/><Relationship Id="rId492" Type="http://schemas.openxmlformats.org/officeDocument/2006/relationships/hyperlink" Target="https://raw.githubusercontent.com/ItsCryp7iC/Genshin-Image-Hosting/main/LocalSpecialties/CrystalMarrow.png" TargetMode="External"/><Relationship Id="rId713" Type="http://schemas.openxmlformats.org/officeDocument/2006/relationships/hyperlink" Target="https://raw.githubusercontent.com/ItsCryp7iC/Genshin-Image-Hosting/main/Characters/AratakiItto.png" TargetMode="External"/><Relationship Id="rId797" Type="http://schemas.openxmlformats.org/officeDocument/2006/relationships/hyperlink" Target="https://raw.githubusercontent.com/ItsCryp7iC/Genshin-Image-Hosting/main/Characters/Razor.png" TargetMode="External"/><Relationship Id="rId920" Type="http://schemas.openxmlformats.org/officeDocument/2006/relationships/image" Target="../media/image458.png"/><Relationship Id="rId145" Type="http://schemas.openxmlformats.org/officeDocument/2006/relationships/hyperlink" Target="https://raw.githubusercontent.com/ItsCryp7iC/Genshin-Image-Hosting/main/MonsterDrops/1Star/FirmArrowhead.png" TargetMode="External"/><Relationship Id="rId352" Type="http://schemas.openxmlformats.org/officeDocument/2006/relationships/image" Target="../media/image176.png"/><Relationship Id="rId212" Type="http://schemas.openxmlformats.org/officeDocument/2006/relationships/image" Target="../media/image106.png"/><Relationship Id="rId657" Type="http://schemas.openxmlformats.org/officeDocument/2006/relationships/hyperlink" Target="https://raw.githubusercontent.com/ItsCryp7iC/Genshin-Image-Hosting/main/LocalSpecialties/Trishiraite.png" TargetMode="External"/><Relationship Id="rId864" Type="http://schemas.openxmlformats.org/officeDocument/2006/relationships/image" Target="../media/image430.png"/><Relationship Id="rId296" Type="http://schemas.openxmlformats.org/officeDocument/2006/relationships/image" Target="../media/image148.png"/><Relationship Id="rId517" Type="http://schemas.openxmlformats.org/officeDocument/2006/relationships/image" Target="../media/image257.png"/><Relationship Id="rId724" Type="http://schemas.openxmlformats.org/officeDocument/2006/relationships/image" Target="../media/image360.png"/><Relationship Id="rId931" Type="http://schemas.openxmlformats.org/officeDocument/2006/relationships/hyperlink" Target="https://raw.githubusercontent.com/ItsCryp7iC/Genshin-Image-Hosting/main/Weapons/MemoryofDust.png" TargetMode="External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363" Type="http://schemas.openxmlformats.org/officeDocument/2006/relationships/hyperlink" Target="https://raw.githubusercontent.com/ItsCryp7iC/Genshin-Image-Hosting/main/WeaponMaterials/DreamoftheDandelionGladiator.png" TargetMode="External"/><Relationship Id="rId570" Type="http://schemas.openxmlformats.org/officeDocument/2006/relationships/image" Target="../media/image283.png"/><Relationship Id="rId1007" Type="http://schemas.openxmlformats.org/officeDocument/2006/relationships/hyperlink" Target="https://raw.githubusercontent.com/ItsCryp7iC/Genshin-Image-Hosting/main/Weapons/SacrificialFragments.png" TargetMode="External"/><Relationship Id="rId223" Type="http://schemas.openxmlformats.org/officeDocument/2006/relationships/hyperlink" Target="https://raw.githubusercontent.com/ItsCryp7iC/Genshin-Image-Hosting/main/WeaponMaterials/BorealWolfsCrackedTooth.png" TargetMode="External"/><Relationship Id="rId430" Type="http://schemas.openxmlformats.org/officeDocument/2006/relationships/image" Target="../media/image215.png"/><Relationship Id="rId668" Type="http://schemas.openxmlformats.org/officeDocument/2006/relationships/image" Target="../media/image332.png"/><Relationship Id="rId875" Type="http://schemas.openxmlformats.org/officeDocument/2006/relationships/hyperlink" Target="https://raw.githubusercontent.com/ItsCryp7iC/Genshin-Image-Hosting/main/Weapons/KatsuragikiriNagamasa.png" TargetMode="External"/><Relationship Id="rId1060" Type="http://schemas.openxmlformats.org/officeDocument/2006/relationships/image" Target="../media/image528.png"/><Relationship Id="rId18" Type="http://schemas.openxmlformats.org/officeDocument/2006/relationships/image" Target="../media/image9.png"/><Relationship Id="rId528" Type="http://schemas.openxmlformats.org/officeDocument/2006/relationships/image" Target="../media/image262.png"/><Relationship Id="rId735" Type="http://schemas.openxmlformats.org/officeDocument/2006/relationships/hyperlink" Target="https://raw.githubusercontent.com/ItsCryp7iC/Genshin-Image-Hosting/main/Weapons/FavoniusGreatsword.png" TargetMode="External"/><Relationship Id="rId942" Type="http://schemas.openxmlformats.org/officeDocument/2006/relationships/image" Target="../media/image469.png"/><Relationship Id="rId167" Type="http://schemas.openxmlformats.org/officeDocument/2006/relationships/hyperlink" Target="https://raw.githubusercontent.com/ItsCryp7iC/Genshin-Image-Hosting/main/LocalSpecialties/Lumitoile.png" TargetMode="External"/><Relationship Id="rId374" Type="http://schemas.openxmlformats.org/officeDocument/2006/relationships/image" Target="../media/image187.png"/><Relationship Id="rId581" Type="http://schemas.openxmlformats.org/officeDocument/2006/relationships/hyperlink" Target="https://raw.githubusercontent.com/ItsCryp7iC/Genshin-Image-Hosting/main/WeaponMaterials/JadeBranchofaDistantSea.png" TargetMode="External"/><Relationship Id="rId1018" Type="http://schemas.openxmlformats.org/officeDocument/2006/relationships/image" Target="../media/image507.png"/><Relationship Id="rId71" Type="http://schemas.openxmlformats.org/officeDocument/2006/relationships/hyperlink" Target="https://raw.githubusercontent.com/ItsCryp7iC/Genshin-Image-Hosting/main/MonsterDrops/1Star/DamagedMask.png" TargetMode="External"/><Relationship Id="rId234" Type="http://schemas.openxmlformats.org/officeDocument/2006/relationships/image" Target="../media/image117.png"/><Relationship Id="rId679" Type="http://schemas.openxmlformats.org/officeDocument/2006/relationships/hyperlink" Target="https://raw.githubusercontent.com/ItsCryp7iC/Genshin-Image-Hosting/main/Weapons/EmeraldOrb.png" TargetMode="External"/><Relationship Id="rId802" Type="http://schemas.openxmlformats.org/officeDocument/2006/relationships/image" Target="../media/image399.png"/><Relationship Id="rId886" Type="http://schemas.openxmlformats.org/officeDocument/2006/relationships/image" Target="../media/image441.png"/><Relationship Id="rId2" Type="http://schemas.openxmlformats.org/officeDocument/2006/relationships/image" Target="../media/image1.png"/><Relationship Id="rId29" Type="http://schemas.openxmlformats.org/officeDocument/2006/relationships/hyperlink" Target="https://raw.githubusercontent.com/ItsCryp7iC/Genshin-Image-Hosting/main/MonsterDrops/1Star/SlimeCondensate.png" TargetMode="External"/><Relationship Id="rId441" Type="http://schemas.openxmlformats.org/officeDocument/2006/relationships/hyperlink" Target="https://raw.githubusercontent.com/ItsCryp7iC/Genshin-Image-Hosting/main/Weapons/BlackcliffWarbow.png" TargetMode="External"/><Relationship Id="rId539" Type="http://schemas.openxmlformats.org/officeDocument/2006/relationships/hyperlink" Target="https://raw.githubusercontent.com/ItsCryp7iC/Genshin-Image-Hosting/main/Gems/VayudaTurquoiseSilver.png" TargetMode="External"/><Relationship Id="rId746" Type="http://schemas.openxmlformats.org/officeDocument/2006/relationships/image" Target="../media/image371.png"/><Relationship Id="rId1071" Type="http://schemas.openxmlformats.org/officeDocument/2006/relationships/hyperlink" Target="https://raw.githubusercontent.com/ItsCryp7iC/Genshin-Image-Hosting/main/Weapons/TheFirstGreatMagic.png" TargetMode="External"/><Relationship Id="rId178" Type="http://schemas.openxmlformats.org/officeDocument/2006/relationships/image" Target="../media/image89.png"/><Relationship Id="rId301" Type="http://schemas.openxmlformats.org/officeDocument/2006/relationships/hyperlink" Target="https://raw.githubusercontent.com/ItsCryp7iC/Genshin-Image-Hosting/main/WeeklyBoss/BloodjadeBranch.png" TargetMode="External"/><Relationship Id="rId953" Type="http://schemas.openxmlformats.org/officeDocument/2006/relationships/hyperlink" Target="https://raw.githubusercontent.com/ItsCryp7iC/Genshin-Image-Hosting/main/Weapons/MouunsMoon.png" TargetMode="External"/><Relationship Id="rId1029" Type="http://schemas.openxmlformats.org/officeDocument/2006/relationships/hyperlink" Target="https://raw.githubusercontent.com/ItsCryp7iC/Genshin-Image-Hosting/main/Weapons/SkywardBlade.png" TargetMode="External"/><Relationship Id="rId82" Type="http://schemas.openxmlformats.org/officeDocument/2006/relationships/image" Target="../media/image41.png"/><Relationship Id="rId385" Type="http://schemas.openxmlformats.org/officeDocument/2006/relationships/hyperlink" Target="https://raw.githubusercontent.com/ItsCryp7iC/Genshin-Image-Hosting/main/Weapons/BlackcliffLongsword.png" TargetMode="External"/><Relationship Id="rId592" Type="http://schemas.openxmlformats.org/officeDocument/2006/relationships/image" Target="../media/image294.png"/><Relationship Id="rId606" Type="http://schemas.openxmlformats.org/officeDocument/2006/relationships/image" Target="../media/image301.png"/><Relationship Id="rId813" Type="http://schemas.openxmlformats.org/officeDocument/2006/relationships/hyperlink" Target="https://raw.githubusercontent.com/ItsCryp7iC/Genshin-Image-Hosting/main/WeaponMaterials/SpringofPureSacredDewdrop.png" TargetMode="External"/><Relationship Id="rId245" Type="http://schemas.openxmlformats.org/officeDocument/2006/relationships/hyperlink" Target="https://raw.githubusercontent.com/ItsCryp7iC/Genshin-Image-Hosting/main/Weapons/AquilaFavonia.png" TargetMode="External"/><Relationship Id="rId452" Type="http://schemas.openxmlformats.org/officeDocument/2006/relationships/image" Target="../media/image226.png"/><Relationship Id="rId897" Type="http://schemas.openxmlformats.org/officeDocument/2006/relationships/hyperlink" Target="https://raw.githubusercontent.com/ItsCryp7iC/Genshin-Image-Hosting/main/Characters/Candace.png" TargetMode="External"/><Relationship Id="rId1082" Type="http://schemas.openxmlformats.org/officeDocument/2006/relationships/image" Target="../media/image539.png"/><Relationship Id="rId105" Type="http://schemas.openxmlformats.org/officeDocument/2006/relationships/hyperlink" Target="https://raw.githubusercontent.com/ItsCryp7iC/Genshin-Image-Hosting/main/WeeklyBoss/DvalinsSigh.png" TargetMode="External"/><Relationship Id="rId312" Type="http://schemas.openxmlformats.org/officeDocument/2006/relationships/image" Target="../media/image156.png"/><Relationship Id="rId757" Type="http://schemas.openxmlformats.org/officeDocument/2006/relationships/hyperlink" Target="https://raw.githubusercontent.com/ItsCryp7iC/Genshin-Image-Hosting/main/Weapons/FavoniusWarbow.png" TargetMode="External"/><Relationship Id="rId964" Type="http://schemas.openxmlformats.org/officeDocument/2006/relationships/image" Target="../media/image480.png"/><Relationship Id="rId93" Type="http://schemas.openxmlformats.org/officeDocument/2006/relationships/hyperlink" Target="https://raw.githubusercontent.com/ItsCryp7iC/Genshin-Image-Hosting/main/WorldBoss/EverflameSeed.png" TargetMode="External"/><Relationship Id="rId189" Type="http://schemas.openxmlformats.org/officeDocument/2006/relationships/hyperlink" Target="https://raw.githubusercontent.com/ItsCryp7iC/Genshin-Image-Hosting/main/Elements/hydro.png" TargetMode="External"/><Relationship Id="rId396" Type="http://schemas.openxmlformats.org/officeDocument/2006/relationships/image" Target="../media/image198.png"/><Relationship Id="rId617" Type="http://schemas.openxmlformats.org/officeDocument/2006/relationships/hyperlink" Target="https://raw.githubusercontent.com/ItsCryp7iC/Genshin-Image-Hosting/main/Weapons/DebateClub.png" TargetMode="External"/><Relationship Id="rId824" Type="http://schemas.openxmlformats.org/officeDocument/2006/relationships/image" Target="../media/image410.png"/><Relationship Id="rId256" Type="http://schemas.openxmlformats.org/officeDocument/2006/relationships/image" Target="../media/image128.png"/><Relationship Id="rId463" Type="http://schemas.openxmlformats.org/officeDocument/2006/relationships/hyperlink" Target="https://raw.githubusercontent.com/ItsCryp7iC/Genshin-Image-Hosting/main/WorldBoss/ThunderclapFruitcore.png" TargetMode="External"/><Relationship Id="rId670" Type="http://schemas.openxmlformats.org/officeDocument/2006/relationships/image" Target="../media/image333.png"/><Relationship Id="rId1093" Type="http://schemas.openxmlformats.org/officeDocument/2006/relationships/hyperlink" Target="https://raw.githubusercontent.com/ItsCryp7iC/Genshin-Image-Hosting/main/Weapons/TravelersHandySword.png" TargetMode="External"/><Relationship Id="rId1107" Type="http://schemas.openxmlformats.org/officeDocument/2006/relationships/hyperlink" Target="https://raw.githubusercontent.com/ItsCryp7iC/Genshin-Image-Hosting/main/Weapons/WanderingEvenstar.png" TargetMode="External"/><Relationship Id="rId116" Type="http://schemas.openxmlformats.org/officeDocument/2006/relationships/image" Target="../media/image58.png"/><Relationship Id="rId323" Type="http://schemas.openxmlformats.org/officeDocument/2006/relationships/hyperlink" Target="https://raw.githubusercontent.com/ItsCryp7iC/Genshin-Image-Hosting/main/WeaponMaterials/ChainsoftheDandelionGladiator.png" TargetMode="External"/><Relationship Id="rId530" Type="http://schemas.openxmlformats.org/officeDocument/2006/relationships/image" Target="../media/image263.png"/><Relationship Id="rId768" Type="http://schemas.openxmlformats.org/officeDocument/2006/relationships/image" Target="../media/image382.png"/><Relationship Id="rId975" Type="http://schemas.openxmlformats.org/officeDocument/2006/relationships/hyperlink" Target="https://raw.githubusercontent.com/ItsCryp7iC/Genshin-Image-Hosting/main/Weapons/PrototypeCrescent.png" TargetMode="External"/><Relationship Id="rId20" Type="http://schemas.openxmlformats.org/officeDocument/2006/relationships/image" Target="../media/image10.png"/><Relationship Id="rId628" Type="http://schemas.openxmlformats.org/officeDocument/2006/relationships/image" Target="../media/image312.png"/><Relationship Id="rId835" Type="http://schemas.openxmlformats.org/officeDocument/2006/relationships/hyperlink" Target="https://raw.githubusercontent.com/ItsCryp7iC/Genshin-Image-Hosting/main/Weapons/Hamayumi.png" TargetMode="External"/><Relationship Id="rId267" Type="http://schemas.openxmlformats.org/officeDocument/2006/relationships/hyperlink" Target="https://raw.githubusercontent.com/ItsCryp7iC/Genshin-Image-Hosting/main/MonsterDrops/1Star/OldHandguard.png" TargetMode="External"/><Relationship Id="rId474" Type="http://schemas.openxmlformats.org/officeDocument/2006/relationships/image" Target="../media/image237.png"/><Relationship Id="rId1020" Type="http://schemas.openxmlformats.org/officeDocument/2006/relationships/image" Target="../media/image508.png"/><Relationship Id="rId1118" Type="http://schemas.openxmlformats.org/officeDocument/2006/relationships/image" Target="../media/image557.png"/><Relationship Id="rId127" Type="http://schemas.openxmlformats.org/officeDocument/2006/relationships/hyperlink" Target="https://raw.githubusercontent.com/ItsCryp7iC/Genshin-Image-Hosting/main/Characters/Chiori.png" TargetMode="External"/><Relationship Id="rId681" Type="http://schemas.openxmlformats.org/officeDocument/2006/relationships/hyperlink" Target="https://raw.githubusercontent.com/ItsCryp7iC/Genshin-Image-Hosting/main/WeaponMaterials/MaskoftheKijin.png" TargetMode="External"/><Relationship Id="rId779" Type="http://schemas.openxmlformats.org/officeDocument/2006/relationships/hyperlink" Target="https://raw.githubusercontent.com/ItsCryp7iC/Genshin-Image-Hosting/main/Characters/Kaveh.png" TargetMode="External"/><Relationship Id="rId902" Type="http://schemas.openxmlformats.org/officeDocument/2006/relationships/image" Target="../media/image449.png"/><Relationship Id="rId986" Type="http://schemas.openxmlformats.org/officeDocument/2006/relationships/image" Target="../media/image491.png"/><Relationship Id="rId31" Type="http://schemas.openxmlformats.org/officeDocument/2006/relationships/hyperlink" Target="https://raw.githubusercontent.com/ItsCryp7iC/Genshin-Image-Hosting/main/TalentBooks/PhilosophiesofFreedom.png" TargetMode="External"/><Relationship Id="rId334" Type="http://schemas.openxmlformats.org/officeDocument/2006/relationships/image" Target="../media/image167.png"/><Relationship Id="rId541" Type="http://schemas.openxmlformats.org/officeDocument/2006/relationships/hyperlink" Target="https://raw.githubusercontent.com/ItsCryp7iC/Genshin-Image-Hosting/main/Weapons/CoolSteel.png" TargetMode="External"/><Relationship Id="rId639" Type="http://schemas.openxmlformats.org/officeDocument/2006/relationships/hyperlink" Target="https://raw.githubusercontent.com/ItsCryp7iC/Genshin-Image-Hosting/main/WeaponMaterials/NarukamisValor.png" TargetMode="External"/><Relationship Id="rId180" Type="http://schemas.openxmlformats.org/officeDocument/2006/relationships/image" Target="../media/image90.png"/><Relationship Id="rId278" Type="http://schemas.openxmlformats.org/officeDocument/2006/relationships/image" Target="../media/image139.png"/><Relationship Id="rId401" Type="http://schemas.openxmlformats.org/officeDocument/2006/relationships/hyperlink" Target="https://raw.githubusercontent.com/ItsCryp7iC/Genshin-Image-Hosting/main/TalentBooks/GuidetoDiligence.png" TargetMode="External"/><Relationship Id="rId846" Type="http://schemas.openxmlformats.org/officeDocument/2006/relationships/image" Target="../media/image421.png"/><Relationship Id="rId1031" Type="http://schemas.openxmlformats.org/officeDocument/2006/relationships/hyperlink" Target="https://raw.githubusercontent.com/ItsCryp7iC/Genshin-Image-Hosting/main/Weapons/SkywardHarp.png" TargetMode="External"/><Relationship Id="rId485" Type="http://schemas.openxmlformats.org/officeDocument/2006/relationships/hyperlink" Target="https://raw.githubusercontent.com/ItsCryp7iC/Genshin-Image-Hosting/main/WeaponMaterials/MistVeiledGoldElixir.png" TargetMode="External"/><Relationship Id="rId692" Type="http://schemas.openxmlformats.org/officeDocument/2006/relationships/image" Target="../media/image344.png"/><Relationship Id="rId706" Type="http://schemas.openxmlformats.org/officeDocument/2006/relationships/image" Target="../media/image351.png"/><Relationship Id="rId913" Type="http://schemas.openxmlformats.org/officeDocument/2006/relationships/hyperlink" Target="https://raw.githubusercontent.com/ItsCryp7iC/Genshin-Image-Hosting/main/Characters/Mika.png" TargetMode="External"/><Relationship Id="rId42" Type="http://schemas.openxmlformats.org/officeDocument/2006/relationships/image" Target="../media/image21.png"/><Relationship Id="rId138" Type="http://schemas.openxmlformats.org/officeDocument/2006/relationships/image" Target="../media/image69.png"/><Relationship Id="rId345" Type="http://schemas.openxmlformats.org/officeDocument/2006/relationships/hyperlink" Target="https://raw.githubusercontent.com/ItsCryp7iC/Genshin-Image-Hosting/main/WeaponMaterials/ShacklesoftheDandelionGladiator.png" TargetMode="External"/><Relationship Id="rId552" Type="http://schemas.openxmlformats.org/officeDocument/2006/relationships/image" Target="../media/image274.png"/><Relationship Id="rId997" Type="http://schemas.openxmlformats.org/officeDocument/2006/relationships/hyperlink" Target="https://raw.githubusercontent.com/ItsCryp7iC/Genshin-Image-Hosting/main/Weapons/RoyalGrimoire.png" TargetMode="External"/><Relationship Id="rId191" Type="http://schemas.openxmlformats.org/officeDocument/2006/relationships/hyperlink" Target="https://raw.githubusercontent.com/ItsCryp7iC/Genshin-Image-Hosting/main/Weapons/AmosBow.png" TargetMode="External"/><Relationship Id="rId205" Type="http://schemas.openxmlformats.org/officeDocument/2006/relationships/hyperlink" Target="https://raw.githubusercontent.com/ItsCryp7iC/Genshin-Image-Hosting/main/Gems/VarunadaLazuriteGemstone.png" TargetMode="External"/><Relationship Id="rId412" Type="http://schemas.openxmlformats.org/officeDocument/2006/relationships/image" Target="../media/image206.png"/><Relationship Id="rId857" Type="http://schemas.openxmlformats.org/officeDocument/2006/relationships/hyperlink" Target="https://raw.githubusercontent.com/ItsCryp7iC/Genshin-Image-Hosting/main/Characters/Neuvillette.png" TargetMode="External"/><Relationship Id="rId1042" Type="http://schemas.openxmlformats.org/officeDocument/2006/relationships/image" Target="../media/image519.png"/><Relationship Id="rId289" Type="http://schemas.openxmlformats.org/officeDocument/2006/relationships/hyperlink" Target="https://raw.githubusercontent.com/ItsCryp7iC/Genshin-Image-Hosting/main/TalentBooks/TeachingsofBallad.png" TargetMode="External"/><Relationship Id="rId496" Type="http://schemas.openxmlformats.org/officeDocument/2006/relationships/hyperlink" Target="https://raw.githubusercontent.com/ItsCryp7iC/Genshin-Image-Hosting/main/Weapons/CashflowSupervision.png" TargetMode="External"/><Relationship Id="rId717" Type="http://schemas.openxmlformats.org/officeDocument/2006/relationships/hyperlink" Target="https://raw.githubusercontent.com/ItsCryp7iC/Genshin-Image-Hosting/main/Weapons/FadingTwilight.png" TargetMode="External"/><Relationship Id="rId924" Type="http://schemas.openxmlformats.org/officeDocument/2006/relationships/image" Target="../media/image460.png"/><Relationship Id="rId53" Type="http://schemas.openxmlformats.org/officeDocument/2006/relationships/hyperlink" Target="https://raw.githubusercontent.com/ItsCryp7iC/Genshin-Image-Hosting/main/WeeklyBoss/MirrorofMushin.png" TargetMode="External"/><Relationship Id="rId149" Type="http://schemas.openxmlformats.org/officeDocument/2006/relationships/hyperlink" Target="https://raw.githubusercontent.com/ItsCryp7iC/Genshin-Image-Hosting/main/Misc/resin.png" TargetMode="External"/><Relationship Id="rId356" Type="http://schemas.openxmlformats.org/officeDocument/2006/relationships/image" Target="../media/image178.png"/><Relationship Id="rId563" Type="http://schemas.openxmlformats.org/officeDocument/2006/relationships/hyperlink" Target="https://raw.githubusercontent.com/ItsCryp7iC/Genshin-Image-Hosting/main/Gems/ShivadaJadeChunk.png" TargetMode="External"/><Relationship Id="rId770" Type="http://schemas.openxmlformats.org/officeDocument/2006/relationships/image" Target="../media/image383.png"/><Relationship Id="rId216" Type="http://schemas.openxmlformats.org/officeDocument/2006/relationships/image" Target="../media/image108.png"/><Relationship Id="rId423" Type="http://schemas.openxmlformats.org/officeDocument/2006/relationships/hyperlink" Target="https://raw.githubusercontent.com/ItsCryp7iC/Genshin-Image-Hosting/main/LocalSpecialties/Violetgrass.png" TargetMode="External"/><Relationship Id="rId868" Type="http://schemas.openxmlformats.org/officeDocument/2006/relationships/image" Target="../media/image432.png"/><Relationship Id="rId1053" Type="http://schemas.openxmlformats.org/officeDocument/2006/relationships/hyperlink" Target="https://raw.githubusercontent.com/ItsCryp7iC/Genshin-Image-Hosting/main/Weapons/SummitShaper.png" TargetMode="External"/><Relationship Id="rId630" Type="http://schemas.openxmlformats.org/officeDocument/2006/relationships/image" Target="../media/image313.png"/><Relationship Id="rId728" Type="http://schemas.openxmlformats.org/officeDocument/2006/relationships/image" Target="../media/image362.png"/><Relationship Id="rId935" Type="http://schemas.openxmlformats.org/officeDocument/2006/relationships/hyperlink" Target="https://raw.githubusercontent.com/ItsCryp7iC/Genshin-Image-Hosting/main/Weapons/Messenger.png" TargetMode="External"/><Relationship Id="rId64" Type="http://schemas.openxmlformats.org/officeDocument/2006/relationships/image" Target="../media/image32.png"/><Relationship Id="rId367" Type="http://schemas.openxmlformats.org/officeDocument/2006/relationships/hyperlink" Target="https://raw.githubusercontent.com/ItsCryp7iC/Genshin-Image-Hosting/main/WorldBoss/EvergloomRing.png" TargetMode="External"/><Relationship Id="rId574" Type="http://schemas.openxmlformats.org/officeDocument/2006/relationships/image" Target="../media/image285.png"/><Relationship Id="rId1120" Type="http://schemas.openxmlformats.org/officeDocument/2006/relationships/image" Target="../media/image558.png"/><Relationship Id="rId227" Type="http://schemas.openxmlformats.org/officeDocument/2006/relationships/hyperlink" Target="https://raw.githubusercontent.com/ItsCryp7iC/Genshin-Image-Hosting/main/LocalSpecialties/DandelionSeed.png" TargetMode="External"/><Relationship Id="rId781" Type="http://schemas.openxmlformats.org/officeDocument/2006/relationships/hyperlink" Target="https://raw.githubusercontent.com/ItsCryp7iC/Genshin-Image-Hosting/main/Weapons/FinaleoftheDeep.png" TargetMode="External"/><Relationship Id="rId879" Type="http://schemas.openxmlformats.org/officeDocument/2006/relationships/hyperlink" Target="https://raw.githubusercontent.com/ItsCryp7iC/Genshin-Image-Hosting/main/Weapons/KeyofKhajNisut.png" TargetMode="External"/><Relationship Id="rId434" Type="http://schemas.openxmlformats.org/officeDocument/2006/relationships/image" Target="../media/image217.png"/><Relationship Id="rId641" Type="http://schemas.openxmlformats.org/officeDocument/2006/relationships/hyperlink" Target="https://raw.githubusercontent.com/ItsCryp7iC/Genshin-Image-Hosting/main/Characters/KujouSara.png" TargetMode="External"/><Relationship Id="rId739" Type="http://schemas.openxmlformats.org/officeDocument/2006/relationships/hyperlink" Target="https://raw.githubusercontent.com/ItsCryp7iC/Genshin-Image-Hosting/main/Characters/Dehya.png" TargetMode="External"/><Relationship Id="rId1064" Type="http://schemas.openxmlformats.org/officeDocument/2006/relationships/image" Target="../media/image530.png"/><Relationship Id="rId280" Type="http://schemas.openxmlformats.org/officeDocument/2006/relationships/image" Target="../media/image140.png"/><Relationship Id="rId501" Type="http://schemas.openxmlformats.org/officeDocument/2006/relationships/hyperlink" Target="https://raw.githubusercontent.com/ItsCryp7iC/Genshin-Image-Hosting/main/WorldBoss/QuelledCreeper.png" TargetMode="External"/><Relationship Id="rId946" Type="http://schemas.openxmlformats.org/officeDocument/2006/relationships/image" Target="../media/image471.png"/><Relationship Id="rId75" Type="http://schemas.openxmlformats.org/officeDocument/2006/relationships/hyperlink" Target="https://raw.githubusercontent.com/ItsCryp7iC/Genshin-Image-Hosting/main/LocalSpecialties/Valberry.png" TargetMode="External"/><Relationship Id="rId140" Type="http://schemas.openxmlformats.org/officeDocument/2006/relationships/image" Target="../media/image70.png"/><Relationship Id="rId378" Type="http://schemas.openxmlformats.org/officeDocument/2006/relationships/image" Target="../media/image189.png"/><Relationship Id="rId585" Type="http://schemas.openxmlformats.org/officeDocument/2006/relationships/hyperlink" Target="https://raw.githubusercontent.com/ItsCryp7iC/Genshin-Image-Hosting/main/WeeklyBoss/FadingCandle.png" TargetMode="External"/><Relationship Id="rId792" Type="http://schemas.openxmlformats.org/officeDocument/2006/relationships/image" Target="../media/image394.png"/><Relationship Id="rId806" Type="http://schemas.openxmlformats.org/officeDocument/2006/relationships/image" Target="../media/image401.png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hyperlink" Target="https://raw.githubusercontent.com/ItsCryp7iC/Genshin-Image-Hosting/main/Characters/Nilou.png" TargetMode="External"/><Relationship Id="rId652" Type="http://schemas.openxmlformats.org/officeDocument/2006/relationships/image" Target="../media/image324.png"/><Relationship Id="rId1075" Type="http://schemas.openxmlformats.org/officeDocument/2006/relationships/hyperlink" Target="https://raw.githubusercontent.com/ItsCryp7iC/Genshin-Image-Hosting/main/Weapons/TheStringless.png" TargetMode="External"/><Relationship Id="rId291" Type="http://schemas.openxmlformats.org/officeDocument/2006/relationships/hyperlink" Target="https://raw.githubusercontent.com/ItsCryp7iC/Genshin-Image-Hosting/main/LocalSpecialties/JueyunChili.png" TargetMode="External"/><Relationship Id="rId305" Type="http://schemas.openxmlformats.org/officeDocument/2006/relationships/hyperlink" Target="https://raw.githubusercontent.com/ItsCryp7iC/Genshin-Image-Hosting/main/LocalSpecialties/SakuraBloom.png" TargetMode="External"/><Relationship Id="rId512" Type="http://schemas.openxmlformats.org/officeDocument/2006/relationships/image" Target="../media/image255.png"/><Relationship Id="rId957" Type="http://schemas.openxmlformats.org/officeDocument/2006/relationships/hyperlink" Target="https://raw.githubusercontent.com/ItsCryp7iC/Genshin-Image-Hosting/main/Weapons/OtherworldlyStory.png" TargetMode="External"/><Relationship Id="rId86" Type="http://schemas.openxmlformats.org/officeDocument/2006/relationships/image" Target="../media/image43.png"/><Relationship Id="rId151" Type="http://schemas.openxmlformats.org/officeDocument/2006/relationships/hyperlink" Target="https://raw.githubusercontent.com/ItsCryp7iC/Genshin-Image-Hosting/main/Billets/bow.png" TargetMode="External"/><Relationship Id="rId389" Type="http://schemas.openxmlformats.org/officeDocument/2006/relationships/hyperlink" Target="https://raw.githubusercontent.com/ItsCryp7iC/Genshin-Image-Hosting/main/Characters/KukiShinobu.png" TargetMode="External"/><Relationship Id="rId596" Type="http://schemas.openxmlformats.org/officeDocument/2006/relationships/image" Target="../media/image296.png"/><Relationship Id="rId817" Type="http://schemas.openxmlformats.org/officeDocument/2006/relationships/hyperlink" Target="https://raw.githubusercontent.com/ItsCryp7iC/Genshin-Image-Hosting/main/Weapons/FruitofFulfillment.png" TargetMode="External"/><Relationship Id="rId1002" Type="http://schemas.openxmlformats.org/officeDocument/2006/relationships/image" Target="../media/image499.png"/><Relationship Id="rId249" Type="http://schemas.openxmlformats.org/officeDocument/2006/relationships/hyperlink" Target="https://raw.githubusercontent.com/ItsCryp7iC/Genshin-Image-Hosting/main/Characters/KaedeharaKazuha.png" TargetMode="External"/><Relationship Id="rId456" Type="http://schemas.openxmlformats.org/officeDocument/2006/relationships/image" Target="../media/image228.png"/><Relationship Id="rId663" Type="http://schemas.openxmlformats.org/officeDocument/2006/relationships/hyperlink" Target="https://raw.githubusercontent.com/ItsCryp7iC/Genshin-Image-Hosting/main/Characters/Sethos.png" TargetMode="External"/><Relationship Id="rId870" Type="http://schemas.openxmlformats.org/officeDocument/2006/relationships/image" Target="../media/image433.png"/><Relationship Id="rId1086" Type="http://schemas.openxmlformats.org/officeDocument/2006/relationships/image" Target="../media/image541.png"/><Relationship Id="rId13" Type="http://schemas.openxmlformats.org/officeDocument/2006/relationships/hyperlink" Target="https://raw.githubusercontent.com/ItsCryp7iC/Genshin-Image-Hosting/main/TalentBooks/PhilosophiesofBallad.png" TargetMode="External"/><Relationship Id="rId109" Type="http://schemas.openxmlformats.org/officeDocument/2006/relationships/hyperlink" Target="https://raw.githubusercontent.com/ItsCryp7iC/Genshin-Image-Hosting/main/MonsterDrops/1Star/DiviningScroll.png" TargetMode="External"/><Relationship Id="rId316" Type="http://schemas.openxmlformats.org/officeDocument/2006/relationships/image" Target="../media/image158.png"/><Relationship Id="rId523" Type="http://schemas.openxmlformats.org/officeDocument/2006/relationships/hyperlink" Target="https://raw.githubusercontent.com/ItsCryp7iC/Genshin-Image-Hosting/main/WeeklyBoss/PrimordialGreenbloom.png" TargetMode="External"/><Relationship Id="rId968" Type="http://schemas.openxmlformats.org/officeDocument/2006/relationships/image" Target="../media/image482.png"/><Relationship Id="rId97" Type="http://schemas.openxmlformats.org/officeDocument/2006/relationships/hyperlink" Target="https://raw.githubusercontent.com/ItsCryp7iC/Genshin-Image-Hosting/main/MonsterDrops/3Star/GoldenRavenInsignia.png" TargetMode="External"/><Relationship Id="rId730" Type="http://schemas.openxmlformats.org/officeDocument/2006/relationships/image" Target="../media/image363.png"/><Relationship Id="rId828" Type="http://schemas.openxmlformats.org/officeDocument/2006/relationships/image" Target="../media/image412.png"/><Relationship Id="rId1013" Type="http://schemas.openxmlformats.org/officeDocument/2006/relationships/hyperlink" Target="https://raw.githubusercontent.com/ItsCryp7iC/Genshin-Image-Hosting/main/Weapons/SacrificialSword.png" TargetMode="External"/><Relationship Id="rId162" Type="http://schemas.openxmlformats.org/officeDocument/2006/relationships/image" Target="../media/image81.png"/><Relationship Id="rId467" Type="http://schemas.openxmlformats.org/officeDocument/2006/relationships/hyperlink" Target="https://raw.githubusercontent.com/ItsCryp7iC/Genshin-Image-Hosting/main/TalentBooks/TeachingsofGold.png" TargetMode="External"/><Relationship Id="rId1097" Type="http://schemas.openxmlformats.org/officeDocument/2006/relationships/hyperlink" Target="https://raw.githubusercontent.com/ItsCryp7iC/Genshin-Image-Hosting/main/Weapons/TwinNephrite.png" TargetMode="External"/><Relationship Id="rId674" Type="http://schemas.openxmlformats.org/officeDocument/2006/relationships/image" Target="../media/image335.png"/><Relationship Id="rId881" Type="http://schemas.openxmlformats.org/officeDocument/2006/relationships/hyperlink" Target="https://raw.githubusercontent.com/ItsCryp7iC/Genshin-Image-Hosting/main/Characters/Wriothesley.png" TargetMode="External"/><Relationship Id="rId979" Type="http://schemas.openxmlformats.org/officeDocument/2006/relationships/hyperlink" Target="https://raw.githubusercontent.com/ItsCryp7iC/Genshin-Image-Hosting/main/Weapons/PrototypeStarglitter.png" TargetMode="External"/><Relationship Id="rId24" Type="http://schemas.openxmlformats.org/officeDocument/2006/relationships/image" Target="../media/image12.png"/><Relationship Id="rId327" Type="http://schemas.openxmlformats.org/officeDocument/2006/relationships/hyperlink" Target="https://raw.githubusercontent.com/ItsCryp7iC/Genshin-Image-Hosting/main/WorldBoss/DewofRepudiation.png" TargetMode="External"/><Relationship Id="rId534" Type="http://schemas.openxmlformats.org/officeDocument/2006/relationships/image" Target="../media/image265.png"/><Relationship Id="rId741" Type="http://schemas.openxmlformats.org/officeDocument/2006/relationships/hyperlink" Target="https://raw.githubusercontent.com/ItsCryp7iC/Genshin-Image-Hosting/main/TalentBooks/GuidetoOrder.png" TargetMode="External"/><Relationship Id="rId839" Type="http://schemas.openxmlformats.org/officeDocument/2006/relationships/hyperlink" Target="https://raw.githubusercontent.com/ItsCryp7iC/Genshin-Image-Hosting/main/Characters/Klee.png" TargetMode="External"/><Relationship Id="rId173" Type="http://schemas.openxmlformats.org/officeDocument/2006/relationships/hyperlink" Target="https://raw.githubusercontent.com/ItsCryp7iC/Genshin-Image-Hosting/main/WeeklyBoss/RingofBoreas.png" TargetMode="External"/><Relationship Id="rId380" Type="http://schemas.openxmlformats.org/officeDocument/2006/relationships/image" Target="../media/image190.png"/><Relationship Id="rId601" Type="http://schemas.openxmlformats.org/officeDocument/2006/relationships/hyperlink" Target="https://raw.githubusercontent.com/ItsCryp7iC/Genshin-Image-Hosting/main/Weapons/Deathmatch.png" TargetMode="External"/><Relationship Id="rId1024" Type="http://schemas.openxmlformats.org/officeDocument/2006/relationships/image" Target="../media/image510.png"/><Relationship Id="rId240" Type="http://schemas.openxmlformats.org/officeDocument/2006/relationships/image" Target="../media/image120.png"/><Relationship Id="rId478" Type="http://schemas.openxmlformats.org/officeDocument/2006/relationships/image" Target="../media/image239.png"/><Relationship Id="rId685" Type="http://schemas.openxmlformats.org/officeDocument/2006/relationships/hyperlink" Target="https://raw.githubusercontent.com/ItsCryp7iC/Genshin-Image-Hosting/main/LocalSpecialties/RomaritimeFlower.png" TargetMode="External"/><Relationship Id="rId892" Type="http://schemas.openxmlformats.org/officeDocument/2006/relationships/image" Target="../media/image444.png"/><Relationship Id="rId906" Type="http://schemas.openxmlformats.org/officeDocument/2006/relationships/image" Target="../media/image451.png"/><Relationship Id="rId35" Type="http://schemas.openxmlformats.org/officeDocument/2006/relationships/hyperlink" Target="https://raw.githubusercontent.com/ItsCryp7iC/Genshin-Image-Hosting/main/Gems/BrilliantDiamondGemstone.png" TargetMode="External"/><Relationship Id="rId100" Type="http://schemas.openxmlformats.org/officeDocument/2006/relationships/image" Target="../media/image50.png"/><Relationship Id="rId338" Type="http://schemas.openxmlformats.org/officeDocument/2006/relationships/image" Target="../media/image169.png"/><Relationship Id="rId545" Type="http://schemas.openxmlformats.org/officeDocument/2006/relationships/hyperlink" Target="https://raw.githubusercontent.com/ItsCryp7iC/Genshin-Image-Hosting/main/Characters/Aloy.png" TargetMode="External"/><Relationship Id="rId752" Type="http://schemas.openxmlformats.org/officeDocument/2006/relationships/image" Target="../media/image374.png"/><Relationship Id="rId184" Type="http://schemas.openxmlformats.org/officeDocument/2006/relationships/image" Target="../media/image92.png"/><Relationship Id="rId391" Type="http://schemas.openxmlformats.org/officeDocument/2006/relationships/hyperlink" Target="https://raw.githubusercontent.com/ItsCryp7iC/Genshin-Image-Hosting/main/WorldBoss/RunicFang.png" TargetMode="External"/><Relationship Id="rId405" Type="http://schemas.openxmlformats.org/officeDocument/2006/relationships/hyperlink" Target="https://raw.githubusercontent.com/ItsCryp7iC/Genshin-Image-Hosting/main/Gems/NagadusEmeraldChunk.png" TargetMode="External"/><Relationship Id="rId612" Type="http://schemas.openxmlformats.org/officeDocument/2006/relationships/image" Target="../media/image304.png"/><Relationship Id="rId1035" Type="http://schemas.openxmlformats.org/officeDocument/2006/relationships/hyperlink" Target="https://raw.githubusercontent.com/ItsCryp7iC/Genshin-Image-Hosting/main/Weapons/SkywardSpine.png" TargetMode="External"/><Relationship Id="rId251" Type="http://schemas.openxmlformats.org/officeDocument/2006/relationships/hyperlink" Target="https://raw.githubusercontent.com/ItsCryp7iC/Genshin-Image-Hosting/main/WorldBoss/MarionetteCore.png" TargetMode="External"/><Relationship Id="rId489" Type="http://schemas.openxmlformats.org/officeDocument/2006/relationships/image" Target="../media/image244.png"/><Relationship Id="rId696" Type="http://schemas.openxmlformats.org/officeDocument/2006/relationships/image" Target="../media/image346.png"/><Relationship Id="rId917" Type="http://schemas.openxmlformats.org/officeDocument/2006/relationships/hyperlink" Target="https://raw.githubusercontent.com/ItsCryp7iC/Genshin-Image-Hosting/main/Characters/RaidenShogun.png" TargetMode="External"/><Relationship Id="rId1102" Type="http://schemas.openxmlformats.org/officeDocument/2006/relationships/image" Target="../media/image549.png"/><Relationship Id="rId46" Type="http://schemas.openxmlformats.org/officeDocument/2006/relationships/image" Target="../media/image23.png"/><Relationship Id="rId349" Type="http://schemas.openxmlformats.org/officeDocument/2006/relationships/hyperlink" Target="https://raw.githubusercontent.com/ItsCryp7iC/Genshin-Image-Hosting/main/LocalSpecialties/CorLapis.png" TargetMode="External"/><Relationship Id="rId556" Type="http://schemas.openxmlformats.org/officeDocument/2006/relationships/image" Target="../media/image276.png"/><Relationship Id="rId763" Type="http://schemas.openxmlformats.org/officeDocument/2006/relationships/hyperlink" Target="https://raw.githubusercontent.com/ItsCryp7iC/Genshin-Image-Hosting/main/Weapons/FerrousShadow.png" TargetMode="External"/><Relationship Id="rId111" Type="http://schemas.openxmlformats.org/officeDocument/2006/relationships/hyperlink" Target="https://raw.githubusercontent.com/ItsCryp7iC/Genshin-Image-Hosting/main/TalentBooks/TeachingsofFreedom.png" TargetMode="External"/><Relationship Id="rId195" Type="http://schemas.openxmlformats.org/officeDocument/2006/relationships/hyperlink" Target="https://raw.githubusercontent.com/ItsCryp7iC/Genshin-Image-Hosting/main/Characters/Furina.png" TargetMode="External"/><Relationship Id="rId209" Type="http://schemas.openxmlformats.org/officeDocument/2006/relationships/hyperlink" Target="https://raw.githubusercontent.com/ItsCryp7iC/Genshin-Image-Hosting/main/MonsterDrops/2Star/SilverRavenInsignia.png" TargetMode="External"/><Relationship Id="rId416" Type="http://schemas.openxmlformats.org/officeDocument/2006/relationships/image" Target="../media/image208.png"/><Relationship Id="rId970" Type="http://schemas.openxmlformats.org/officeDocument/2006/relationships/image" Target="../media/image483.png"/><Relationship Id="rId1046" Type="http://schemas.openxmlformats.org/officeDocument/2006/relationships/image" Target="../media/image521.png"/><Relationship Id="rId623" Type="http://schemas.openxmlformats.org/officeDocument/2006/relationships/hyperlink" Target="https://raw.githubusercontent.com/ItsCryp7iC/Genshin-Image-Hosting/main/WorldBoss/FragmentofaGoldenMelody.png" TargetMode="External"/><Relationship Id="rId830" Type="http://schemas.openxmlformats.org/officeDocument/2006/relationships/image" Target="../media/image413.png"/><Relationship Id="rId928" Type="http://schemas.openxmlformats.org/officeDocument/2006/relationships/image" Target="../media/image462.png"/><Relationship Id="rId57" Type="http://schemas.openxmlformats.org/officeDocument/2006/relationships/hyperlink" Target="https://raw.githubusercontent.com/ItsCryp7iC/Genshin-Image-Hosting/main/MonsterDrops/3Star/RichRedBrocade.png" TargetMode="External"/><Relationship Id="rId262" Type="http://schemas.openxmlformats.org/officeDocument/2006/relationships/image" Target="../media/image131.png"/><Relationship Id="rId567" Type="http://schemas.openxmlformats.org/officeDocument/2006/relationships/hyperlink" Target="https://raw.githubusercontent.com/ItsCryp7iC/Genshin-Image-Hosting/main/WeaponMaterials/JeweledBranchofaDistantSea.png" TargetMode="External"/><Relationship Id="rId1113" Type="http://schemas.openxmlformats.org/officeDocument/2006/relationships/hyperlink" Target="https://raw.githubusercontent.com/ItsCryp7iC/Genshin-Image-Hosting/main/Weapons/WhiteIronGreatsword.png" TargetMode="External"/><Relationship Id="rId122" Type="http://schemas.openxmlformats.org/officeDocument/2006/relationships/image" Target="../media/image61.png"/><Relationship Id="rId774" Type="http://schemas.openxmlformats.org/officeDocument/2006/relationships/image" Target="../media/image385.png"/><Relationship Id="rId981" Type="http://schemas.openxmlformats.org/officeDocument/2006/relationships/hyperlink" Target="https://raw.githubusercontent.com/ItsCryp7iC/Genshin-Image-Hosting/main/Weapons/Rainslasher.png" TargetMode="External"/><Relationship Id="rId1057" Type="http://schemas.openxmlformats.org/officeDocument/2006/relationships/hyperlink" Target="https://raw.githubusercontent.com/ItsCryp7iC/Genshin-Image-Hosting/main/Weapons/SwordofNarzissenkreuz.png" TargetMode="External"/><Relationship Id="rId427" Type="http://schemas.openxmlformats.org/officeDocument/2006/relationships/hyperlink" Target="https://raw.githubusercontent.com/ItsCryp7iC/Genshin-Image-Hosting/main/Weapons/BlackcliffSlasher.png" TargetMode="External"/><Relationship Id="rId634" Type="http://schemas.openxmlformats.org/officeDocument/2006/relationships/image" Target="../media/image315.png"/><Relationship Id="rId841" Type="http://schemas.openxmlformats.org/officeDocument/2006/relationships/hyperlink" Target="https://raw.githubusercontent.com/ItsCryp7iC/Genshin-Image-Hosting/main/Weapons/HaranGeppakuFutsu.png" TargetMode="External"/><Relationship Id="rId273" Type="http://schemas.openxmlformats.org/officeDocument/2006/relationships/hyperlink" Target="https://raw.githubusercontent.com/ItsCryp7iC/Genshin-Image-Hosting/main/Misc/weapons.png" TargetMode="External"/><Relationship Id="rId480" Type="http://schemas.openxmlformats.org/officeDocument/2006/relationships/image" Target="../media/image240.png"/><Relationship Id="rId701" Type="http://schemas.openxmlformats.org/officeDocument/2006/relationships/hyperlink" Target="https://raw.githubusercontent.com/ItsCryp7iC/Genshin-Image-Hosting/main/TalentBooks/TeachingsofEquity.png" TargetMode="External"/><Relationship Id="rId939" Type="http://schemas.openxmlformats.org/officeDocument/2006/relationships/hyperlink" Target="https://raw.githubusercontent.com/ItsCryp7iC/Genshin-Image-Hosting/main/Weapons/MissiveWindspear.png" TargetMode="External"/><Relationship Id="rId1124" Type="http://schemas.openxmlformats.org/officeDocument/2006/relationships/image" Target="../media/image560.png"/><Relationship Id="rId68" Type="http://schemas.openxmlformats.org/officeDocument/2006/relationships/image" Target="../media/image34.png"/><Relationship Id="rId133" Type="http://schemas.openxmlformats.org/officeDocument/2006/relationships/hyperlink" Target="https://raw.githubusercontent.com/ItsCryp7iC/Genshin-Image-Hosting/main/TalentBooks/PhilosophiesofLight.png" TargetMode="External"/><Relationship Id="rId340" Type="http://schemas.openxmlformats.org/officeDocument/2006/relationships/image" Target="../media/image170.png"/><Relationship Id="rId578" Type="http://schemas.openxmlformats.org/officeDocument/2006/relationships/image" Target="../media/image287.png"/><Relationship Id="rId785" Type="http://schemas.openxmlformats.org/officeDocument/2006/relationships/hyperlink" Target="https://raw.githubusercontent.com/ItsCryp7iC/Genshin-Image-Hosting/main/Characters/Navia.png" TargetMode="External"/><Relationship Id="rId992" Type="http://schemas.openxmlformats.org/officeDocument/2006/relationships/image" Target="../media/image494.png"/><Relationship Id="rId200" Type="http://schemas.openxmlformats.org/officeDocument/2006/relationships/image" Target="../media/image100.png"/><Relationship Id="rId438" Type="http://schemas.openxmlformats.org/officeDocument/2006/relationships/image" Target="../media/image219.png"/><Relationship Id="rId645" Type="http://schemas.openxmlformats.org/officeDocument/2006/relationships/hyperlink" Target="https://raw.githubusercontent.com/ItsCryp7iC/Genshin-Image-Hosting/main/LocalSpecialties/MourningFlower.png" TargetMode="External"/><Relationship Id="rId852" Type="http://schemas.openxmlformats.org/officeDocument/2006/relationships/image" Target="../media/image424.png"/><Relationship Id="rId1068" Type="http://schemas.openxmlformats.org/officeDocument/2006/relationships/image" Target="../media/image532.png"/><Relationship Id="rId284" Type="http://schemas.openxmlformats.org/officeDocument/2006/relationships/image" Target="../media/image142.png"/><Relationship Id="rId491" Type="http://schemas.openxmlformats.org/officeDocument/2006/relationships/image" Target="../media/image245.png"/><Relationship Id="rId505" Type="http://schemas.openxmlformats.org/officeDocument/2006/relationships/hyperlink" Target="https://raw.githubusercontent.com/ItsCryp7iC/Genshin-Image-Hosting/main/TalentBooks/TeachingsofTransience.png" TargetMode="External"/><Relationship Id="rId712" Type="http://schemas.openxmlformats.org/officeDocument/2006/relationships/image" Target="../media/image354.png"/><Relationship Id="rId79" Type="http://schemas.openxmlformats.org/officeDocument/2006/relationships/hyperlink" Target="https://raw.githubusercontent.com/ItsCryp7iC/Genshin-Image-Hosting/main/Misc/CrownofInsight.png" TargetMode="External"/><Relationship Id="rId144" Type="http://schemas.openxmlformats.org/officeDocument/2006/relationships/image" Target="../media/image72.png"/><Relationship Id="rId589" Type="http://schemas.openxmlformats.org/officeDocument/2006/relationships/hyperlink" Target="https://raw.githubusercontent.com/ItsCryp7iC/Genshin-Image-Hosting/main/Gems/ShivadaJadeSilver.png" TargetMode="External"/><Relationship Id="rId796" Type="http://schemas.openxmlformats.org/officeDocument/2006/relationships/image" Target="../media/image396.png"/><Relationship Id="rId351" Type="http://schemas.openxmlformats.org/officeDocument/2006/relationships/hyperlink" Target="https://raw.githubusercontent.com/ItsCryp7iC/Genshin-Image-Hosting/main/MonsterDrops/2Star/TransoceanicChunk.png" TargetMode="External"/><Relationship Id="rId449" Type="http://schemas.openxmlformats.org/officeDocument/2006/relationships/hyperlink" Target="https://raw.githubusercontent.com/ItsCryp7iC/Genshin-Image-Hosting/main/LocalSpecialties/Padisarah.png" TargetMode="External"/><Relationship Id="rId656" Type="http://schemas.openxmlformats.org/officeDocument/2006/relationships/image" Target="../media/image326.png"/><Relationship Id="rId863" Type="http://schemas.openxmlformats.org/officeDocument/2006/relationships/hyperlink" Target="https://raw.githubusercontent.com/ItsCryp7iC/Genshin-Image-Hosting/main/Weapons/JadefallsSplendor.png" TargetMode="External"/><Relationship Id="rId1079" Type="http://schemas.openxmlformats.org/officeDocument/2006/relationships/hyperlink" Target="https://raw.githubusercontent.com/ItsCryp7iC/Genshin-Image-Hosting/main/Weapons/TheViridescentHunt.png" TargetMode="External"/><Relationship Id="rId211" Type="http://schemas.openxmlformats.org/officeDocument/2006/relationships/hyperlink" Target="https://raw.githubusercontent.com/ItsCryp7iC/Genshin-Image-Hosting/main/MonsterDrops/1Star/TreasureHoarderInsignia.png" TargetMode="External"/><Relationship Id="rId295" Type="http://schemas.openxmlformats.org/officeDocument/2006/relationships/hyperlink" Target="https://raw.githubusercontent.com/ItsCryp7iC/Genshin-Image-Hosting/main/WeaponMaterials/FettersoftheDandelionGladiator.png" TargetMode="External"/><Relationship Id="rId309" Type="http://schemas.openxmlformats.org/officeDocument/2006/relationships/hyperlink" Target="https://raw.githubusercontent.com/ItsCryp7iC/Genshin-Image-Hosting/main/MonsterDrops/3Star/CrystallineCystDust.png" TargetMode="External"/><Relationship Id="rId516" Type="http://schemas.openxmlformats.org/officeDocument/2006/relationships/hyperlink" Target="https://raw.githubusercontent.com/ItsCryp7iC/Genshin-Image-Hosting/main/Gems/VayudaTurquoiseChunk.png" TargetMode="External"/><Relationship Id="rId723" Type="http://schemas.openxmlformats.org/officeDocument/2006/relationships/hyperlink" Target="https://raw.githubusercontent.com/ItsCryp7iC/Genshin-Image-Hosting/main/TalentBooks/TeachingsofJustice.png" TargetMode="External"/><Relationship Id="rId930" Type="http://schemas.openxmlformats.org/officeDocument/2006/relationships/image" Target="../media/image463.png"/><Relationship Id="rId1006" Type="http://schemas.openxmlformats.org/officeDocument/2006/relationships/image" Target="../media/image501.png"/><Relationship Id="rId155" Type="http://schemas.openxmlformats.org/officeDocument/2006/relationships/hyperlink" Target="https://raw.githubusercontent.com/ItsCryp7iC/Genshin-Image-Hosting/main/WeaponMaterials/ScatteredPieceofDecarabiansDream.png" TargetMode="External"/><Relationship Id="rId362" Type="http://schemas.openxmlformats.org/officeDocument/2006/relationships/image" Target="../media/image181.png"/><Relationship Id="rId222" Type="http://schemas.openxmlformats.org/officeDocument/2006/relationships/image" Target="../media/image111.png"/><Relationship Id="rId667" Type="http://schemas.openxmlformats.org/officeDocument/2006/relationships/hyperlink" Target="https://raw.githubusercontent.com/ItsCryp7iC/Genshin-Image-Hosting/main/LocalSpecialties/Scarab.png" TargetMode="External"/><Relationship Id="rId874" Type="http://schemas.openxmlformats.org/officeDocument/2006/relationships/image" Target="../media/image435.png"/><Relationship Id="rId17" Type="http://schemas.openxmlformats.org/officeDocument/2006/relationships/hyperlink" Target="https://raw.githubusercontent.com/ItsCryp7iC/Genshin-Image-Hosting/main/LocalSpecialties/Cecilia.png" TargetMode="External"/><Relationship Id="rId527" Type="http://schemas.openxmlformats.org/officeDocument/2006/relationships/hyperlink" Target="https://raw.githubusercontent.com/ItsCryp7iC/Genshin-Image-Hosting/main/Gems/VayudaTurquoiseFragment.png" TargetMode="External"/><Relationship Id="rId734" Type="http://schemas.openxmlformats.org/officeDocument/2006/relationships/image" Target="../media/image365.png"/><Relationship Id="rId941" Type="http://schemas.openxmlformats.org/officeDocument/2006/relationships/hyperlink" Target="https://raw.githubusercontent.com/ItsCryp7iC/Genshin-Image-Hosting/main/Characters/Yaoyao.png" TargetMode="External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73" Type="http://schemas.openxmlformats.org/officeDocument/2006/relationships/hyperlink" Target="https://raw.githubusercontent.com/ItsCryp7iC/Genshin-Image-Hosting/main/WorldBoss/StormBeads.png" TargetMode="External"/><Relationship Id="rId580" Type="http://schemas.openxmlformats.org/officeDocument/2006/relationships/image" Target="../media/image288.png"/><Relationship Id="rId801" Type="http://schemas.openxmlformats.org/officeDocument/2006/relationships/hyperlink" Target="https://raw.githubusercontent.com/ItsCryp7iC/Genshin-Image-Hosting/main/WeaponMaterials/DrossofPureSacredDewdrop.png" TargetMode="External"/><Relationship Id="rId1017" Type="http://schemas.openxmlformats.org/officeDocument/2006/relationships/hyperlink" Target="https://raw.githubusercontent.com/ItsCryp7iC/Genshin-Image-Hosting/main/Weapons/ScionoftheBlazingSun.png" TargetMode="External"/><Relationship Id="rId1" Type="http://schemas.openxmlformats.org/officeDocument/2006/relationships/hyperlink" Target="https://raw.githubusercontent.com/ItsCryp7iC/Genshin-Image-Hosting/main/Experience/HerosWit.png" TargetMode="External"/><Relationship Id="rId233" Type="http://schemas.openxmlformats.org/officeDocument/2006/relationships/hyperlink" Target="https://raw.githubusercontent.com/ItsCryp7iC/Genshin-Image-Hosting/main/MonsterDrops/2Star/ShimmeringNectar.png" TargetMode="External"/><Relationship Id="rId440" Type="http://schemas.openxmlformats.org/officeDocument/2006/relationships/image" Target="../media/image220.png"/><Relationship Id="rId678" Type="http://schemas.openxmlformats.org/officeDocument/2006/relationships/image" Target="../media/image337.png"/><Relationship Id="rId885" Type="http://schemas.openxmlformats.org/officeDocument/2006/relationships/hyperlink" Target="https://raw.githubusercontent.com/ItsCryp7iC/Genshin-Image-Hosting/main/Characters/Xianyun.png" TargetMode="External"/><Relationship Id="rId1070" Type="http://schemas.openxmlformats.org/officeDocument/2006/relationships/image" Target="../media/image533.png"/><Relationship Id="rId28" Type="http://schemas.openxmlformats.org/officeDocument/2006/relationships/image" Target="../media/image14.png"/><Relationship Id="rId300" Type="http://schemas.openxmlformats.org/officeDocument/2006/relationships/image" Target="../media/image150.png"/><Relationship Id="rId538" Type="http://schemas.openxmlformats.org/officeDocument/2006/relationships/image" Target="../media/image267.png"/><Relationship Id="rId745" Type="http://schemas.openxmlformats.org/officeDocument/2006/relationships/hyperlink" Target="https://raw.githubusercontent.com/ItsCryp7iC/Genshin-Image-Hosting/main/WeaponMaterials/OasisGardensTruth.png" TargetMode="External"/><Relationship Id="rId952" Type="http://schemas.openxmlformats.org/officeDocument/2006/relationships/image" Target="../media/image474.png"/><Relationship Id="rId81" Type="http://schemas.openxmlformats.org/officeDocument/2006/relationships/hyperlink" Target="https://raw.githubusercontent.com/ItsCryp7iC/Genshin-Image-Hosting/main/Billets/claymore.png" TargetMode="External"/><Relationship Id="rId177" Type="http://schemas.openxmlformats.org/officeDocument/2006/relationships/hyperlink" Target="https://raw.githubusercontent.com/ItsCryp7iC/Genshin-Image-Hosting/main/MonsterDrops/2Star/SergeantsInsignia.png" TargetMode="External"/><Relationship Id="rId384" Type="http://schemas.openxmlformats.org/officeDocument/2006/relationships/image" Target="../media/image192.png"/><Relationship Id="rId591" Type="http://schemas.openxmlformats.org/officeDocument/2006/relationships/hyperlink" Target="https://raw.githubusercontent.com/ItsCryp7iC/Genshin-Image-Hosting/main/Weapons/DarkIronSword.png" TargetMode="External"/><Relationship Id="rId605" Type="http://schemas.openxmlformats.org/officeDocument/2006/relationships/hyperlink" Target="https://raw.githubusercontent.com/ItsCryp7iC/Genshin-Image-Hosting/main/Characters/Fischl.png" TargetMode="External"/><Relationship Id="rId812" Type="http://schemas.openxmlformats.org/officeDocument/2006/relationships/image" Target="../media/image404.png"/><Relationship Id="rId1028" Type="http://schemas.openxmlformats.org/officeDocument/2006/relationships/image" Target="../media/image512.png"/><Relationship Id="rId244" Type="http://schemas.openxmlformats.org/officeDocument/2006/relationships/image" Target="../media/image122.png"/><Relationship Id="rId689" Type="http://schemas.openxmlformats.org/officeDocument/2006/relationships/hyperlink" Target="https://raw.githubusercontent.com/ItsCryp7iC/Genshin-Image-Hosting/main/WeaponMaterials/CopperTalismanoftheForestDew.png" TargetMode="External"/><Relationship Id="rId896" Type="http://schemas.openxmlformats.org/officeDocument/2006/relationships/image" Target="../media/image446.png"/><Relationship Id="rId1081" Type="http://schemas.openxmlformats.org/officeDocument/2006/relationships/hyperlink" Target="https://raw.githubusercontent.com/ItsCryp7iC/Genshin-Image-Hosting/main/Weapons/TheWidsith.png" TargetMode="External"/><Relationship Id="rId39" Type="http://schemas.openxmlformats.org/officeDocument/2006/relationships/hyperlink" Target="https://raw.githubusercontent.com/ItsCryp7iC/Genshin-Image-Hosting/main/Elements/anemo.png" TargetMode="External"/><Relationship Id="rId451" Type="http://schemas.openxmlformats.org/officeDocument/2006/relationships/hyperlink" Target="https://raw.githubusercontent.com/ItsCryp7iC/Genshin-Image-Hosting/main/WorldBoss/MajesticHookedBeak.png" TargetMode="External"/><Relationship Id="rId549" Type="http://schemas.openxmlformats.org/officeDocument/2006/relationships/hyperlink" Target="https://raw.githubusercontent.com/ItsCryp7iC/Genshin-Image-Hosting/main/Weapons/CranesEchoingCall.png" TargetMode="External"/><Relationship Id="rId756" Type="http://schemas.openxmlformats.org/officeDocument/2006/relationships/image" Target="../media/image376.png"/><Relationship Id="rId104" Type="http://schemas.openxmlformats.org/officeDocument/2006/relationships/image" Target="../media/image52.png"/><Relationship Id="rId188" Type="http://schemas.openxmlformats.org/officeDocument/2006/relationships/image" Target="../media/image94.png"/><Relationship Id="rId311" Type="http://schemas.openxmlformats.org/officeDocument/2006/relationships/hyperlink" Target="https://raw.githubusercontent.com/ItsCryp7iC/Genshin-Image-Hosting/main/MonsterDrops/2Star/LuminescentPollen.png" TargetMode="External"/><Relationship Id="rId395" Type="http://schemas.openxmlformats.org/officeDocument/2006/relationships/hyperlink" Target="https://raw.githubusercontent.com/ItsCryp7iC/Genshin-Image-Hosting/main/LocalSpecialties/NakuWeed.png" TargetMode="External"/><Relationship Id="rId409" Type="http://schemas.openxmlformats.org/officeDocument/2006/relationships/hyperlink" Target="https://raw.githubusercontent.com/ItsCryp7iC/Genshin-Image-Hosting/main/WeaponMaterials/LustrousStonefromGuyun.png" TargetMode="External"/><Relationship Id="rId963" Type="http://schemas.openxmlformats.org/officeDocument/2006/relationships/hyperlink" Target="https://raw.githubusercontent.com/ItsCryp7iC/Genshin-Image-Hosting/main/Weapons/Predator.png" TargetMode="External"/><Relationship Id="rId1039" Type="http://schemas.openxmlformats.org/officeDocument/2006/relationships/hyperlink" Target="https://raw.githubusercontent.com/ItsCryp7iC/Genshin-Image-Hosting/main/Weapons/SnowTombedStarsilver.png" TargetMode="External"/><Relationship Id="rId92" Type="http://schemas.openxmlformats.org/officeDocument/2006/relationships/image" Target="../media/image46.png"/><Relationship Id="rId616" Type="http://schemas.openxmlformats.org/officeDocument/2006/relationships/image" Target="../media/image306.png"/><Relationship Id="rId823" Type="http://schemas.openxmlformats.org/officeDocument/2006/relationships/hyperlink" Target="https://raw.githubusercontent.com/ItsCryp7iC/Genshin-Image-Hosting/main/Weapons/HakushinRing.png" TargetMode="External"/><Relationship Id="rId255" Type="http://schemas.openxmlformats.org/officeDocument/2006/relationships/hyperlink" Target="https://raw.githubusercontent.com/ItsCryp7iC/Genshin-Image-Hosting/main/TalentBooks/PhilosophiesofDiligence.png" TargetMode="External"/><Relationship Id="rId462" Type="http://schemas.openxmlformats.org/officeDocument/2006/relationships/image" Target="../media/image231.png"/><Relationship Id="rId1092" Type="http://schemas.openxmlformats.org/officeDocument/2006/relationships/image" Target="../media/image544.png"/><Relationship Id="rId1106" Type="http://schemas.openxmlformats.org/officeDocument/2006/relationships/image" Target="../media/image551.png"/><Relationship Id="rId115" Type="http://schemas.openxmlformats.org/officeDocument/2006/relationships/hyperlink" Target="https://raw.githubusercontent.com/ItsCryp7iC/Genshin-Image-Hosting/main/Misc/DreamSolvent.png" TargetMode="External"/><Relationship Id="rId322" Type="http://schemas.openxmlformats.org/officeDocument/2006/relationships/image" Target="../media/image161.png"/><Relationship Id="rId767" Type="http://schemas.openxmlformats.org/officeDocument/2006/relationships/hyperlink" Target="https://raw.githubusercontent.com/ItsCryp7iC/Genshin-Image-Hosting/main/Characters/Freminet.png" TargetMode="External"/><Relationship Id="rId974" Type="http://schemas.openxmlformats.org/officeDocument/2006/relationships/image" Target="../media/image485.png"/><Relationship Id="rId199" Type="http://schemas.openxmlformats.org/officeDocument/2006/relationships/hyperlink" Target="https://raw.githubusercontent.com/ItsCryp7iC/Genshin-Image-Hosting/main/WeeklyBoss/LightlessMass.png" TargetMode="External"/><Relationship Id="rId627" Type="http://schemas.openxmlformats.org/officeDocument/2006/relationships/hyperlink" Target="https://raw.githubusercontent.com/ItsCryp7iC/Genshin-Image-Hosting/main/Weapons/DialoguesoftheDesertSages.png" TargetMode="External"/><Relationship Id="rId834" Type="http://schemas.openxmlformats.org/officeDocument/2006/relationships/image" Target="../media/image415.png"/><Relationship Id="rId266" Type="http://schemas.openxmlformats.org/officeDocument/2006/relationships/image" Target="../media/image133.png"/><Relationship Id="rId473" Type="http://schemas.openxmlformats.org/officeDocument/2006/relationships/hyperlink" Target="https://raw.githubusercontent.com/ItsCryp7iC/Genshin-Image-Hosting/main/Weapons/BloodtaintedGreatsword.png" TargetMode="External"/><Relationship Id="rId680" Type="http://schemas.openxmlformats.org/officeDocument/2006/relationships/image" Target="../media/image338.png"/><Relationship Id="rId901" Type="http://schemas.openxmlformats.org/officeDocument/2006/relationships/hyperlink" Target="https://raw.githubusercontent.com/ItsCryp7iC/Genshin-Image-Hosting/main/Characters/Chevreuse.png" TargetMode="External"/><Relationship Id="rId1117" Type="http://schemas.openxmlformats.org/officeDocument/2006/relationships/hyperlink" Target="https://raw.githubusercontent.com/ItsCryp7iC/Genshin-Image-Hosting/main/Weapons/WindblumeOde.png" TargetMode="External"/><Relationship Id="rId30" Type="http://schemas.openxmlformats.org/officeDocument/2006/relationships/image" Target="../media/image15.png"/><Relationship Id="rId126" Type="http://schemas.openxmlformats.org/officeDocument/2006/relationships/image" Target="../media/image63.png"/><Relationship Id="rId333" Type="http://schemas.openxmlformats.org/officeDocument/2006/relationships/hyperlink" Target="https://raw.githubusercontent.com/ItsCryp7iC/Genshin-Image-Hosting/main/MonsterDrops/2Star/TrimmedRedSilk.png" TargetMode="External"/><Relationship Id="rId540" Type="http://schemas.openxmlformats.org/officeDocument/2006/relationships/image" Target="../media/image268.png"/><Relationship Id="rId778" Type="http://schemas.openxmlformats.org/officeDocument/2006/relationships/image" Target="../media/image387.png"/><Relationship Id="rId985" Type="http://schemas.openxmlformats.org/officeDocument/2006/relationships/hyperlink" Target="https://raw.githubusercontent.com/ItsCryp7iC/Genshin-Image-Hosting/main/Weapons/RavenBow.png" TargetMode="External"/><Relationship Id="rId638" Type="http://schemas.openxmlformats.org/officeDocument/2006/relationships/image" Target="../media/image317.png"/><Relationship Id="rId845" Type="http://schemas.openxmlformats.org/officeDocument/2006/relationships/hyperlink" Target="https://raw.githubusercontent.com/ItsCryp7iC/Genshin-Image-Hosting/main/Characters/Lisa.png" TargetMode="External"/><Relationship Id="rId1030" Type="http://schemas.openxmlformats.org/officeDocument/2006/relationships/image" Target="../media/image513.png"/><Relationship Id="rId277" Type="http://schemas.openxmlformats.org/officeDocument/2006/relationships/hyperlink" Target="https://raw.githubusercontent.com/ItsCryp7iC/Genshin-Image-Hosting/main/WeaponMaterials/BorealWolfsNostalgia.png" TargetMode="External"/><Relationship Id="rId400" Type="http://schemas.openxmlformats.org/officeDocument/2006/relationships/image" Target="../media/image200.png"/><Relationship Id="rId484" Type="http://schemas.openxmlformats.org/officeDocument/2006/relationships/image" Target="../media/image242.png"/><Relationship Id="rId705" Type="http://schemas.openxmlformats.org/officeDocument/2006/relationships/hyperlink" Target="https://raw.githubusercontent.com/ItsCryp7iC/Genshin-Image-Hosting/main/WeaponMaterials/SilverTalismanoftheForestDew.png" TargetMode="External"/><Relationship Id="rId137" Type="http://schemas.openxmlformats.org/officeDocument/2006/relationships/hyperlink" Target="https://raw.githubusercontent.com/ItsCryp7iC/Genshin-Image-Hosting/main/LocalSpecialties/HennaBerry.png" TargetMode="External"/><Relationship Id="rId344" Type="http://schemas.openxmlformats.org/officeDocument/2006/relationships/image" Target="../media/image172.png"/><Relationship Id="rId691" Type="http://schemas.openxmlformats.org/officeDocument/2006/relationships/hyperlink" Target="https://raw.githubusercontent.com/ItsCryp7iC/Genshin-Image-Hosting/main/Characters/Venti.png" TargetMode="External"/><Relationship Id="rId789" Type="http://schemas.openxmlformats.org/officeDocument/2006/relationships/hyperlink" Target="https://raw.githubusercontent.com/ItsCryp7iC/Genshin-Image-Hosting/main/WeaponMaterials/MovementofanAncientChord.png" TargetMode="External"/><Relationship Id="rId912" Type="http://schemas.openxmlformats.org/officeDocument/2006/relationships/image" Target="../media/image454.png"/><Relationship Id="rId996" Type="http://schemas.openxmlformats.org/officeDocument/2006/relationships/image" Target="../media/image496.png"/><Relationship Id="rId41" Type="http://schemas.openxmlformats.org/officeDocument/2006/relationships/hyperlink" Target="https://raw.githubusercontent.com/ItsCryp7iC/Genshin-Image-Hosting/main/Weapons/Absolution.png" TargetMode="External"/><Relationship Id="rId551" Type="http://schemas.openxmlformats.org/officeDocument/2006/relationships/hyperlink" Target="https://raw.githubusercontent.com/ItsCryp7iC/Genshin-Image-Hosting/main/WeaponMaterials/CoralBranchofaDistantSea.png" TargetMode="External"/><Relationship Id="rId649" Type="http://schemas.openxmlformats.org/officeDocument/2006/relationships/hyperlink" Target="https://raw.githubusercontent.com/ItsCryp7iC/Genshin-Image-Hosting/main/WeaponMaterials/MaskoftheWickedLieutenant.png" TargetMode="External"/><Relationship Id="rId856" Type="http://schemas.openxmlformats.org/officeDocument/2006/relationships/image" Target="../media/image426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88" Type="http://schemas.openxmlformats.org/officeDocument/2006/relationships/image" Target="../media/image144.png"/><Relationship Id="rId411" Type="http://schemas.openxmlformats.org/officeDocument/2006/relationships/hyperlink" Target="https://raw.githubusercontent.com/ItsCryp7iC/Genshin-Image-Hosting/main/Characters/Layla.png" TargetMode="External"/><Relationship Id="rId509" Type="http://schemas.openxmlformats.org/officeDocument/2006/relationships/hyperlink" Target="https://raw.githubusercontent.com/ItsCryp7iC/Genshin-Image-Hosting/main/Weapons/CinnabarSpindle.png" TargetMode="External"/><Relationship Id="rId1041" Type="http://schemas.openxmlformats.org/officeDocument/2006/relationships/hyperlink" Target="https://raw.githubusercontent.com/ItsCryp7iC/Genshin-Image-Hosting/main/Weapons/SolarPearl.png" TargetMode="External"/><Relationship Id="rId495" Type="http://schemas.openxmlformats.org/officeDocument/2006/relationships/image" Target="../media/image247.png"/><Relationship Id="rId716" Type="http://schemas.openxmlformats.org/officeDocument/2006/relationships/image" Target="../media/image356.png"/><Relationship Id="rId923" Type="http://schemas.openxmlformats.org/officeDocument/2006/relationships/hyperlink" Target="https://raw.githubusercontent.com/ItsCryp7iC/Genshin-Image-Hosting/main/Weapons/MakhairaAquamarine.png" TargetMode="External"/><Relationship Id="rId52" Type="http://schemas.openxmlformats.org/officeDocument/2006/relationships/image" Target="../media/image26.png"/><Relationship Id="rId148" Type="http://schemas.openxmlformats.org/officeDocument/2006/relationships/image" Target="../media/image74.png"/><Relationship Id="rId355" Type="http://schemas.openxmlformats.org/officeDocument/2006/relationships/hyperlink" Target="https://raw.githubusercontent.com/ItsCryp7iC/Genshin-Image-Hosting/main/TalentBooks/TeachingsofProsperity.png" TargetMode="External"/><Relationship Id="rId562" Type="http://schemas.openxmlformats.org/officeDocument/2006/relationships/image" Target="../media/image279.png"/><Relationship Id="rId215" Type="http://schemas.openxmlformats.org/officeDocument/2006/relationships/hyperlink" Target="https://raw.githubusercontent.com/ItsCryp7iC/Genshin-Image-Hosting/main/LocalSpecialties/SmallLampGrass.png" TargetMode="External"/><Relationship Id="rId422" Type="http://schemas.openxmlformats.org/officeDocument/2006/relationships/image" Target="../media/image211.png"/><Relationship Id="rId867" Type="http://schemas.openxmlformats.org/officeDocument/2006/relationships/hyperlink" Target="https://raw.githubusercontent.com/ItsCryp7iC/Genshin-Image-Hosting/main/Weapons/KagotsurubeIsshin.png" TargetMode="External"/><Relationship Id="rId1052" Type="http://schemas.openxmlformats.org/officeDocument/2006/relationships/image" Target="../media/image524.png"/><Relationship Id="rId299" Type="http://schemas.openxmlformats.org/officeDocument/2006/relationships/hyperlink" Target="https://raw.githubusercontent.com/ItsCryp7iC/Genshin-Image-Hosting/main/WorldBoss/PerpetualHeart.png" TargetMode="External"/><Relationship Id="rId727" Type="http://schemas.openxmlformats.org/officeDocument/2006/relationships/hyperlink" Target="https://raw.githubusercontent.com/ItsCryp7iC/Genshin-Image-Hosting/main/Weapons/FavoniusCodex.png" TargetMode="External"/><Relationship Id="rId934" Type="http://schemas.openxmlformats.org/officeDocument/2006/relationships/image" Target="../media/image465.png"/><Relationship Id="rId63" Type="http://schemas.openxmlformats.org/officeDocument/2006/relationships/hyperlink" Target="https://raw.githubusercontent.com/ItsCryp7iC/Genshin-Image-Hosting/main/WorldBoss/LightningPrism.png" TargetMode="External"/><Relationship Id="rId159" Type="http://schemas.openxmlformats.org/officeDocument/2006/relationships/hyperlink" Target="https://raw.githubusercontent.com/ItsCryp7iC/Genshin-Image-Hosting/main/WorldBoss/FontemerUnihorn.png" TargetMode="External"/><Relationship Id="rId366" Type="http://schemas.openxmlformats.org/officeDocument/2006/relationships/image" Target="../media/image183.png"/><Relationship Id="rId573" Type="http://schemas.openxmlformats.org/officeDocument/2006/relationships/hyperlink" Target="https://raw.githubusercontent.com/ItsCryp7iC/Genshin-Image-Hosting/main/WorldBoss/TourbillonDevice.png" TargetMode="External"/><Relationship Id="rId780" Type="http://schemas.openxmlformats.org/officeDocument/2006/relationships/image" Target="../media/image388.png"/><Relationship Id="rId226" Type="http://schemas.openxmlformats.org/officeDocument/2006/relationships/image" Target="../media/image113.png"/><Relationship Id="rId433" Type="http://schemas.openxmlformats.org/officeDocument/2006/relationships/hyperlink" Target="https://raw.githubusercontent.com/ItsCryp7iC/Genshin-Image-Hosting/main/TalentBooks/PhilosophiesofOrder.png" TargetMode="External"/><Relationship Id="rId878" Type="http://schemas.openxmlformats.org/officeDocument/2006/relationships/image" Target="../media/image437.png"/><Relationship Id="rId1063" Type="http://schemas.openxmlformats.org/officeDocument/2006/relationships/hyperlink" Target="https://raw.githubusercontent.com/ItsCryp7iC/Genshin-Image-Hosting/main/Weapons/TheBell.png" TargetMode="External"/><Relationship Id="rId640" Type="http://schemas.openxmlformats.org/officeDocument/2006/relationships/image" Target="../media/image318.png"/><Relationship Id="rId738" Type="http://schemas.openxmlformats.org/officeDocument/2006/relationships/image" Target="../media/image367.png"/><Relationship Id="rId945" Type="http://schemas.openxmlformats.org/officeDocument/2006/relationships/hyperlink" Target="https://raw.githubusercontent.com/ItsCryp7iC/Genshin-Image-Hosting/main/Characters/YunJin.png" TargetMode="External"/><Relationship Id="rId74" Type="http://schemas.openxmlformats.org/officeDocument/2006/relationships/image" Target="../media/image37.png"/><Relationship Id="rId377" Type="http://schemas.openxmlformats.org/officeDocument/2006/relationships/hyperlink" Target="https://raw.githubusercontent.com/ItsCryp7iC/Genshin-Image-Hosting/main/MonsterDrops/3Star/ArtificedDynamicGear.png" TargetMode="External"/><Relationship Id="rId500" Type="http://schemas.openxmlformats.org/officeDocument/2006/relationships/hyperlink" Target="https://raw.githubusercontent.com/ItsCryp7iC/Genshin-Image-Hosting/main/Characters/TravelerElectro.png" TargetMode="External"/><Relationship Id="rId584" Type="http://schemas.openxmlformats.org/officeDocument/2006/relationships/image" Target="../media/image290.png"/><Relationship Id="rId805" Type="http://schemas.openxmlformats.org/officeDocument/2006/relationships/hyperlink" Target="https://raw.githubusercontent.com/ItsCryp7iC/Genshin-Image-Hosting/main/Weapons/FreedomSworn.png" TargetMode="External"/><Relationship Id="rId5" Type="http://schemas.openxmlformats.org/officeDocument/2006/relationships/hyperlink" Target="https://raw.githubusercontent.com/ItsCryp7iC/Genshin-Image-Hosting/main/Billets/sword.png" TargetMode="External"/><Relationship Id="rId237" Type="http://schemas.openxmlformats.org/officeDocument/2006/relationships/hyperlink" Target="https://raw.githubusercontent.com/ItsCryp7iC/Genshin-Image-Hosting/main/LocalSpecialties/CallaLily.png" TargetMode="External"/><Relationship Id="rId791" Type="http://schemas.openxmlformats.org/officeDocument/2006/relationships/hyperlink" Target="https://raw.githubusercontent.com/ItsCryp7iC/Genshin-Image-Hosting/main/Characters/Noelle.png" TargetMode="External"/><Relationship Id="rId889" Type="http://schemas.openxmlformats.org/officeDocument/2006/relationships/hyperlink" Target="https://raw.githubusercontent.com/ItsCryp7iC/Genshin-Image-Hosting/main/Characters/YaeMiko.png" TargetMode="External"/><Relationship Id="rId1074" Type="http://schemas.openxmlformats.org/officeDocument/2006/relationships/image" Target="../media/image535.png"/><Relationship Id="rId444" Type="http://schemas.openxmlformats.org/officeDocument/2006/relationships/image" Target="../media/image222.png"/><Relationship Id="rId651" Type="http://schemas.openxmlformats.org/officeDocument/2006/relationships/hyperlink" Target="https://raw.githubusercontent.com/ItsCryp7iC/Genshin-Image-Hosting/main/Characters/Lyney.png" TargetMode="External"/><Relationship Id="rId749" Type="http://schemas.openxmlformats.org/officeDocument/2006/relationships/hyperlink" Target="https://raw.githubusercontent.com/ItsCryp7iC/Genshin-Image-Hosting/main/TalentBooks/TeachingsofOrder.png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88" Type="http://schemas.openxmlformats.org/officeDocument/2006/relationships/image" Target="../media/image194.png"/><Relationship Id="rId511" Type="http://schemas.openxmlformats.org/officeDocument/2006/relationships/hyperlink" Target="https://raw.githubusercontent.com/ItsCryp7iC/Genshin-Image-Hosting/main/WeaponMaterials/GrainofAerosiderite.png" TargetMode="External"/><Relationship Id="rId609" Type="http://schemas.openxmlformats.org/officeDocument/2006/relationships/hyperlink" Target="https://raw.githubusercontent.com/ItsCryp7iC/Genshin-Image-Hosting/main/WeeklyBoss/DenialandJudgment.png" TargetMode="External"/><Relationship Id="rId956" Type="http://schemas.openxmlformats.org/officeDocument/2006/relationships/image" Target="../media/image476.png"/><Relationship Id="rId85" Type="http://schemas.openxmlformats.org/officeDocument/2006/relationships/hyperlink" Target="https://raw.githubusercontent.com/ItsCryp7iC/Genshin-Image-Hosting/main/WeaponMaterials/DebrisofDecarabiansCity.png" TargetMode="External"/><Relationship Id="rId150" Type="http://schemas.openxmlformats.org/officeDocument/2006/relationships/image" Target="../media/image75.png"/><Relationship Id="rId595" Type="http://schemas.openxmlformats.org/officeDocument/2006/relationships/hyperlink" Target="https://raw.githubusercontent.com/ItsCryp7iC/Genshin-Image-Hosting/main/Characters/Faruzan.png" TargetMode="External"/><Relationship Id="rId816" Type="http://schemas.openxmlformats.org/officeDocument/2006/relationships/image" Target="../media/image406.png"/><Relationship Id="rId1001" Type="http://schemas.openxmlformats.org/officeDocument/2006/relationships/hyperlink" Target="https://raw.githubusercontent.com/ItsCryp7iC/Genshin-Image-Hosting/main/Weapons/RoyalSpear.png" TargetMode="External"/><Relationship Id="rId248" Type="http://schemas.openxmlformats.org/officeDocument/2006/relationships/image" Target="../media/image124.png"/><Relationship Id="rId455" Type="http://schemas.openxmlformats.org/officeDocument/2006/relationships/hyperlink" Target="https://raw.githubusercontent.com/ItsCryp7iC/Genshin-Image-Hosting/main/LocalSpecialties/ClearwaterJade.png" TargetMode="External"/><Relationship Id="rId662" Type="http://schemas.openxmlformats.org/officeDocument/2006/relationships/image" Target="../media/image329.png"/><Relationship Id="rId1085" Type="http://schemas.openxmlformats.org/officeDocument/2006/relationships/hyperlink" Target="https://raw.githubusercontent.com/ItsCryp7iC/Genshin-Image-Hosting/main/Weapons/ThunderingPulse.png" TargetMode="External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s://raw.githubusercontent.com/ItsCryp7iC/Genshin-Image-Hosting/main/TalentBooks/PhilosophiesofProsperity.png" TargetMode="External"/><Relationship Id="rId522" Type="http://schemas.openxmlformats.org/officeDocument/2006/relationships/hyperlink" Target="https://raw.githubusercontent.com/ItsCryp7iC/Genshin-Image-Hosting/main/Characters/TravelerHydro.png" TargetMode="External"/><Relationship Id="rId967" Type="http://schemas.openxmlformats.org/officeDocument/2006/relationships/hyperlink" Target="https://raw.githubusercontent.com/ItsCryp7iC/Genshin-Image-Hosting/main/Weapons/PrimordialJadeWingedSpear.png" TargetMode="External"/><Relationship Id="rId96" Type="http://schemas.openxmlformats.org/officeDocument/2006/relationships/image" Target="../media/image48.png"/><Relationship Id="rId161" Type="http://schemas.openxmlformats.org/officeDocument/2006/relationships/hyperlink" Target="https://raw.githubusercontent.com/ItsCryp7iC/Genshin-Image-Hosting/main/WeeklyBoss/Everamber.png" TargetMode="External"/><Relationship Id="rId399" Type="http://schemas.openxmlformats.org/officeDocument/2006/relationships/hyperlink" Target="https://raw.githubusercontent.com/ItsCryp7iC/Genshin-Image-Hosting/main/WeeklyBoss/HellfireButterfly.png" TargetMode="External"/><Relationship Id="rId827" Type="http://schemas.openxmlformats.org/officeDocument/2006/relationships/hyperlink" Target="https://raw.githubusercontent.com/ItsCryp7iC/Genshin-Image-Hosting/main/Characters/Barbara.png" TargetMode="External"/><Relationship Id="rId1012" Type="http://schemas.openxmlformats.org/officeDocument/2006/relationships/image" Target="../media/image504.png"/><Relationship Id="rId259" Type="http://schemas.openxmlformats.org/officeDocument/2006/relationships/hyperlink" Target="https://raw.githubusercontent.com/ItsCryp7iC/Genshin-Image-Hosting/main/WorldBoss/CrystallineBloom.png" TargetMode="External"/><Relationship Id="rId466" Type="http://schemas.openxmlformats.org/officeDocument/2006/relationships/image" Target="../media/image233.png"/><Relationship Id="rId673" Type="http://schemas.openxmlformats.org/officeDocument/2006/relationships/hyperlink" Target="https://raw.githubusercontent.com/ItsCryp7iC/Genshin-Image-Hosting/main/Characters/Tartaglia.png" TargetMode="External"/><Relationship Id="rId880" Type="http://schemas.openxmlformats.org/officeDocument/2006/relationships/image" Target="../media/image438.png"/><Relationship Id="rId1096" Type="http://schemas.openxmlformats.org/officeDocument/2006/relationships/image" Target="../media/image546.png"/><Relationship Id="rId23" Type="http://schemas.openxmlformats.org/officeDocument/2006/relationships/hyperlink" Target="https://raw.githubusercontent.com/ItsCryp7iC/Genshin-Image-Hosting/main/WeeklyBoss/DvalinsPlume.png" TargetMode="External"/><Relationship Id="rId119" Type="http://schemas.openxmlformats.org/officeDocument/2006/relationships/hyperlink" Target="https://raw.githubusercontent.com/ItsCryp7iC/Genshin-Image-Hosting/main/Elements/electro.png" TargetMode="External"/><Relationship Id="rId326" Type="http://schemas.openxmlformats.org/officeDocument/2006/relationships/image" Target="../media/image163.png"/><Relationship Id="rId533" Type="http://schemas.openxmlformats.org/officeDocument/2006/relationships/hyperlink" Target="https://raw.githubusercontent.com/ItsCryp7iC/Genshin-Image-Hosting/main/Characters/Xingqiu.png" TargetMode="External"/><Relationship Id="rId978" Type="http://schemas.openxmlformats.org/officeDocument/2006/relationships/image" Target="../media/image487.png"/><Relationship Id="rId740" Type="http://schemas.openxmlformats.org/officeDocument/2006/relationships/image" Target="../media/image368.png"/><Relationship Id="rId838" Type="http://schemas.openxmlformats.org/officeDocument/2006/relationships/image" Target="../media/image417.png"/><Relationship Id="rId1023" Type="http://schemas.openxmlformats.org/officeDocument/2006/relationships/hyperlink" Target="https://raw.githubusercontent.com/ItsCryp7iC/Genshin-Image-Hosting/main/Weapons/SkyriderGreatsword.png" TargetMode="External"/><Relationship Id="rId172" Type="http://schemas.openxmlformats.org/officeDocument/2006/relationships/image" Target="../media/image86.png"/><Relationship Id="rId477" Type="http://schemas.openxmlformats.org/officeDocument/2006/relationships/hyperlink" Target="https://raw.githubusercontent.com/ItsCryp7iC/Genshin-Image-Hosting/main/Characters/TravelerAnemo.png" TargetMode="External"/><Relationship Id="rId600" Type="http://schemas.openxmlformats.org/officeDocument/2006/relationships/image" Target="../media/image298.png"/><Relationship Id="rId684" Type="http://schemas.openxmlformats.org/officeDocument/2006/relationships/image" Target="../media/image340.png"/><Relationship Id="rId337" Type="http://schemas.openxmlformats.org/officeDocument/2006/relationships/hyperlink" Target="https://raw.githubusercontent.com/ItsCryp7iC/Genshin-Image-Hosting/main/TalentBooks/GuidetoProsperity.png" TargetMode="External"/><Relationship Id="rId891" Type="http://schemas.openxmlformats.org/officeDocument/2006/relationships/hyperlink" Target="https://raw.githubusercontent.com/ItsCryp7iC/Genshin-Image-Hosting/main/Weapons/LightofFoliarIncision.png" TargetMode="External"/><Relationship Id="rId905" Type="http://schemas.openxmlformats.org/officeDocument/2006/relationships/hyperlink" Target="https://raw.githubusercontent.com/ItsCryp7iC/Genshin-Image-Hosting/main/Characters/Cyno.png" TargetMode="External"/><Relationship Id="rId989" Type="http://schemas.openxmlformats.org/officeDocument/2006/relationships/hyperlink" Target="https://raw.githubusercontent.com/ItsCryp7iC/Genshin-Image-Hosting/main/Weapons/RedhornStonethresher.png" TargetMode="External"/><Relationship Id="rId34" Type="http://schemas.openxmlformats.org/officeDocument/2006/relationships/image" Target="../media/image17.png"/><Relationship Id="rId544" Type="http://schemas.openxmlformats.org/officeDocument/2006/relationships/image" Target="../media/image270.png"/><Relationship Id="rId751" Type="http://schemas.openxmlformats.org/officeDocument/2006/relationships/hyperlink" Target="https://raw.githubusercontent.com/ItsCryp7iC/Genshin-Image-Hosting/main/Weapons/FavoniusSword.png" TargetMode="External"/><Relationship Id="rId849" Type="http://schemas.openxmlformats.org/officeDocument/2006/relationships/hyperlink" Target="https://raw.githubusercontent.com/ItsCryp7iC/Genshin-Image-Hosting/main/Characters/Mona.png" TargetMode="External"/><Relationship Id="rId183" Type="http://schemas.openxmlformats.org/officeDocument/2006/relationships/hyperlink" Target="https://raw.githubusercontent.com/ItsCryp7iC/Genshin-Image-Hosting/main/LocalSpecialties/PhilanemoMushroom.png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611" Type="http://schemas.openxmlformats.org/officeDocument/2006/relationships/hyperlink" Target="https://raw.githubusercontent.com/ItsCryp7iC/Genshin-Image-Hosting/main/TalentBooks/TeachingsofAdmonition.png" TargetMode="External"/><Relationship Id="rId1034" Type="http://schemas.openxmlformats.org/officeDocument/2006/relationships/image" Target="../media/image515.png"/><Relationship Id="rId250" Type="http://schemas.openxmlformats.org/officeDocument/2006/relationships/image" Target="../media/image125.png"/><Relationship Id="rId488" Type="http://schemas.openxmlformats.org/officeDocument/2006/relationships/hyperlink" Target="https://raw.githubusercontent.com/ItsCryp7iC/Genshin-Image-Hosting/main/WorldBoss/LightGuidingTetrahedron.png" TargetMode="External"/><Relationship Id="rId695" Type="http://schemas.openxmlformats.org/officeDocument/2006/relationships/hyperlink" Target="https://raw.githubusercontent.com/ItsCryp7iC/Genshin-Image-Hosting/main/Weapons/EngulfingLightning.png" TargetMode="External"/><Relationship Id="rId709" Type="http://schemas.openxmlformats.org/officeDocument/2006/relationships/hyperlink" Target="https://raw.githubusercontent.com/ItsCryp7iC/Genshin-Image-Hosting/main/Weapons/EyeofPerception.png" TargetMode="External"/><Relationship Id="rId916" Type="http://schemas.openxmlformats.org/officeDocument/2006/relationships/image" Target="../media/image456.png"/><Relationship Id="rId1101" Type="http://schemas.openxmlformats.org/officeDocument/2006/relationships/hyperlink" Target="https://raw.githubusercontent.com/ItsCryp7iC/Genshin-Image-Hosting/main/Weapons/UrakuMisugiri.png" TargetMode="External"/><Relationship Id="rId45" Type="http://schemas.openxmlformats.org/officeDocument/2006/relationships/hyperlink" Target="https://raw.githubusercontent.com/ItsCryp7iC/Genshin-Image-Hosting/main/Experience/MysticEnhancementOre.png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555" Type="http://schemas.openxmlformats.org/officeDocument/2006/relationships/hyperlink" Target="https://raw.githubusercontent.com/ItsCryp7iC/Genshin-Image-Hosting/main/WorldBoss/EmperorsResolution.png" TargetMode="External"/><Relationship Id="rId762" Type="http://schemas.openxmlformats.org/officeDocument/2006/relationships/image" Target="../media/image379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s://raw.githubusercontent.com/ItsCryp7iC/Genshin-Image-Hosting/main/LocalSpecialties/NilotpalaLotus.png" TargetMode="External"/><Relationship Id="rId622" Type="http://schemas.openxmlformats.org/officeDocument/2006/relationships/image" Target="../media/image309.png"/><Relationship Id="rId1045" Type="http://schemas.openxmlformats.org/officeDocument/2006/relationships/hyperlink" Target="https://raw.githubusercontent.com/ItsCryp7iC/Genshin-Image-Hosting/main/Weapons/SongofStillness.png" TargetMode="External"/><Relationship Id="rId261" Type="http://schemas.openxmlformats.org/officeDocument/2006/relationships/hyperlink" Target="https://raw.githubusercontent.com/ItsCryp7iC/Genshin-Image-Hosting/main/WeeklyBoss/ShardofaFoulLegacy.png" TargetMode="External"/><Relationship Id="rId499" Type="http://schemas.openxmlformats.org/officeDocument/2006/relationships/image" Target="../media/image249.png"/><Relationship Id="rId927" Type="http://schemas.openxmlformats.org/officeDocument/2006/relationships/hyperlink" Target="https://raw.githubusercontent.com/ItsCryp7iC/Genshin-Image-Hosting/main/Weapons/MappaMare.png" TargetMode="External"/><Relationship Id="rId1112" Type="http://schemas.openxmlformats.org/officeDocument/2006/relationships/image" Target="../media/image554.png"/><Relationship Id="rId56" Type="http://schemas.openxmlformats.org/officeDocument/2006/relationships/image" Target="../media/image28.png"/><Relationship Id="rId359" Type="http://schemas.openxmlformats.org/officeDocument/2006/relationships/hyperlink" Target="https://raw.githubusercontent.com/ItsCryp7iC/Genshin-Image-Hosting/main/Gems/VarunadaLazuriteSilver.png" TargetMode="External"/><Relationship Id="rId566" Type="http://schemas.openxmlformats.org/officeDocument/2006/relationships/image" Target="../media/image281.png"/><Relationship Id="rId773" Type="http://schemas.openxmlformats.org/officeDocument/2006/relationships/hyperlink" Target="https://raw.githubusercontent.com/ItsCryp7iC/Genshin-Image-Hosting/main/Characters/Gaming.png" TargetMode="External"/><Relationship Id="rId121" Type="http://schemas.openxmlformats.org/officeDocument/2006/relationships/hyperlink" Target="https://raw.githubusercontent.com/ItsCryp7iC/Genshin-Image-Hosting/main/Weapons/AlleyHunter.png" TargetMode="External"/><Relationship Id="rId219" Type="http://schemas.openxmlformats.org/officeDocument/2006/relationships/hyperlink" Target="https://raw.githubusercontent.com/ItsCryp7iC/Genshin-Image-Hosting/main/Misc/inventory.png" TargetMode="External"/><Relationship Id="rId426" Type="http://schemas.openxmlformats.org/officeDocument/2006/relationships/image" Target="../media/image213.png"/><Relationship Id="rId633" Type="http://schemas.openxmlformats.org/officeDocument/2006/relationships/hyperlink" Target="https://raw.githubusercontent.com/ItsCryp7iC/Genshin-Image-Hosting/main/TalentBooks/GuidetoIngenuity.png" TargetMode="External"/><Relationship Id="rId980" Type="http://schemas.openxmlformats.org/officeDocument/2006/relationships/image" Target="../media/image488.png"/><Relationship Id="rId1056" Type="http://schemas.openxmlformats.org/officeDocument/2006/relationships/image" Target="../media/image526.png"/><Relationship Id="rId840" Type="http://schemas.openxmlformats.org/officeDocument/2006/relationships/image" Target="../media/image418.png"/><Relationship Id="rId938" Type="http://schemas.openxmlformats.org/officeDocument/2006/relationships/image" Target="../media/image467.png"/><Relationship Id="rId67" Type="http://schemas.openxmlformats.org/officeDocument/2006/relationships/hyperlink" Target="https://raw.githubusercontent.com/ItsCryp7iC/Genshin-Image-Hosting/main/MonsterDrops/3Star/OminousMask.png" TargetMode="External"/><Relationship Id="rId272" Type="http://schemas.openxmlformats.org/officeDocument/2006/relationships/image" Target="../media/image136.png"/><Relationship Id="rId577" Type="http://schemas.openxmlformats.org/officeDocument/2006/relationships/hyperlink" Target="https://raw.githubusercontent.com/ItsCryp7iC/Genshin-Image-Hosting/main/Gems/ShivadaJadeFragment.png" TargetMode="External"/><Relationship Id="rId700" Type="http://schemas.openxmlformats.org/officeDocument/2006/relationships/image" Target="../media/image348.png"/><Relationship Id="rId1123" Type="http://schemas.openxmlformats.org/officeDocument/2006/relationships/hyperlink" Target="https://raw.githubusercontent.com/ItsCryp7iC/Genshin-Image-Hosting/main/Weapons/WolfsGravestone.png" TargetMode="External"/><Relationship Id="rId132" Type="http://schemas.openxmlformats.org/officeDocument/2006/relationships/image" Target="../media/image66.png"/><Relationship Id="rId784" Type="http://schemas.openxmlformats.org/officeDocument/2006/relationships/image" Target="../media/image390.png"/><Relationship Id="rId991" Type="http://schemas.openxmlformats.org/officeDocument/2006/relationships/hyperlink" Target="https://raw.githubusercontent.com/ItsCryp7iC/Genshin-Image-Hosting/main/Weapons/RightfulReward.png" TargetMode="External"/><Relationship Id="rId1067" Type="http://schemas.openxmlformats.org/officeDocument/2006/relationships/hyperlink" Target="https://raw.githubusercontent.com/ItsCryp7iC/Genshin-Image-Hosting/main/Weapons/TheCatch.png" TargetMode="External"/><Relationship Id="rId437" Type="http://schemas.openxmlformats.org/officeDocument/2006/relationships/hyperlink" Target="https://raw.githubusercontent.com/ItsCryp7iC/Genshin-Image-Hosting/main/TalentBooks/PhilosophiesofGold.png" TargetMode="External"/><Relationship Id="rId644" Type="http://schemas.openxmlformats.org/officeDocument/2006/relationships/image" Target="../media/image320.png"/><Relationship Id="rId851" Type="http://schemas.openxmlformats.org/officeDocument/2006/relationships/hyperlink" Target="https://raw.githubusercontent.com/ItsCryp7iC/Genshin-Image-Hosting/main/Weapons/HuntersPath.png" TargetMode="External"/><Relationship Id="rId283" Type="http://schemas.openxmlformats.org/officeDocument/2006/relationships/hyperlink" Target="https://raw.githubusercontent.com/ItsCryp7iC/Genshin-Image-Hosting/main/WeeklyBoss/ShadowoftheWarrior.png" TargetMode="External"/><Relationship Id="rId490" Type="http://schemas.openxmlformats.org/officeDocument/2006/relationships/hyperlink" Target="https://raw.githubusercontent.com/ItsCryp7iC/Genshin-Image-Hosting/main/TalentBooks/GuidetoTransience.png" TargetMode="External"/><Relationship Id="rId504" Type="http://schemas.openxmlformats.org/officeDocument/2006/relationships/image" Target="../media/image251.png"/><Relationship Id="rId711" Type="http://schemas.openxmlformats.org/officeDocument/2006/relationships/hyperlink" Target="https://raw.githubusercontent.com/ItsCryp7iC/Genshin-Image-Hosting/main/WeaponMaterials/GoldenTalismanoftheForestDew.png" TargetMode="External"/><Relationship Id="rId949" Type="http://schemas.openxmlformats.org/officeDocument/2006/relationships/hyperlink" Target="https://raw.githubusercontent.com/ItsCryp7iC/Genshin-Image-Hosting/main/Characters/Zhongli.png" TargetMode="External"/><Relationship Id="rId78" Type="http://schemas.openxmlformats.org/officeDocument/2006/relationships/image" Target="../media/image39.png"/><Relationship Id="rId143" Type="http://schemas.openxmlformats.org/officeDocument/2006/relationships/hyperlink" Target="https://raw.githubusercontent.com/ItsCryp7iC/Genshin-Image-Hosting/main/MonsterDrops/2Star/SharpArrowhead.png" TargetMode="External"/><Relationship Id="rId350" Type="http://schemas.openxmlformats.org/officeDocument/2006/relationships/image" Target="../media/image175.png"/><Relationship Id="rId588" Type="http://schemas.openxmlformats.org/officeDocument/2006/relationships/image" Target="../media/image292.png"/><Relationship Id="rId795" Type="http://schemas.openxmlformats.org/officeDocument/2006/relationships/hyperlink" Target="https://raw.githubusercontent.com/ItsCryp7iC/Genshin-Image-Hosting/main/WeaponMaterials/EchoofanAncientChord.png" TargetMode="External"/><Relationship Id="rId809" Type="http://schemas.openxmlformats.org/officeDocument/2006/relationships/hyperlink" Target="https://raw.githubusercontent.com/ItsCryp7iC/Genshin-Image-Hosting/main/Characters/Xinyan.png" TargetMode="External"/><Relationship Id="rId9" Type="http://schemas.openxmlformats.org/officeDocument/2006/relationships/hyperlink" Target="https://raw.githubusercontent.com/ItsCryp7iC/Genshin-Image-Hosting/main/WorldBoss/BasaltPillar.png" TargetMode="External"/><Relationship Id="rId210" Type="http://schemas.openxmlformats.org/officeDocument/2006/relationships/image" Target="../media/image105.png"/><Relationship Id="rId448" Type="http://schemas.openxmlformats.org/officeDocument/2006/relationships/image" Target="../media/image224.png"/><Relationship Id="rId655" Type="http://schemas.openxmlformats.org/officeDocument/2006/relationships/hyperlink" Target="https://raw.githubusercontent.com/ItsCryp7iC/Genshin-Image-Hosting/main/LocalSpecialties/RainbowRose.png" TargetMode="External"/><Relationship Id="rId862" Type="http://schemas.openxmlformats.org/officeDocument/2006/relationships/image" Target="../media/image429.png"/><Relationship Id="rId1078" Type="http://schemas.openxmlformats.org/officeDocument/2006/relationships/image" Target="../media/image537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515" Type="http://schemas.openxmlformats.org/officeDocument/2006/relationships/image" Target="../media/image256.png"/><Relationship Id="rId722" Type="http://schemas.openxmlformats.org/officeDocument/2006/relationships/image" Target="../media/image359.png"/><Relationship Id="rId89" Type="http://schemas.openxmlformats.org/officeDocument/2006/relationships/hyperlink" Target="https://raw.githubusercontent.com/ItsCryp7iC/Genshin-Image-Hosting/main/Characters/Bennett.png" TargetMode="External"/><Relationship Id="rId154" Type="http://schemas.openxmlformats.org/officeDocument/2006/relationships/image" Target="../media/image77.png"/><Relationship Id="rId361" Type="http://schemas.openxmlformats.org/officeDocument/2006/relationships/hyperlink" Target="https://raw.githubusercontent.com/ItsCryp7iC/Genshin-Image-Hosting/main/Weapons/BlackcliffAgate.png" TargetMode="External"/><Relationship Id="rId599" Type="http://schemas.openxmlformats.org/officeDocument/2006/relationships/hyperlink" Target="https://raw.githubusercontent.com/ItsCryp7iC/Genshin-Image-Hosting/main/TalentBooks/GuidetoAdmonition.png" TargetMode="External"/><Relationship Id="rId1005" Type="http://schemas.openxmlformats.org/officeDocument/2006/relationships/hyperlink" Target="https://raw.githubusercontent.com/ItsCryp7iC/Genshin-Image-Hosting/main/Weapons/SacrificialBow.png" TargetMode="External"/><Relationship Id="rId459" Type="http://schemas.openxmlformats.org/officeDocument/2006/relationships/hyperlink" Target="https://raw.githubusercontent.com/ItsCryp7iC/Genshin-Image-Hosting/main/WeaponMaterials/MistVeiledLeadElixir.png" TargetMode="External"/><Relationship Id="rId666" Type="http://schemas.openxmlformats.org/officeDocument/2006/relationships/image" Target="../media/image331.png"/><Relationship Id="rId873" Type="http://schemas.openxmlformats.org/officeDocument/2006/relationships/hyperlink" Target="https://raw.githubusercontent.com/ItsCryp7iC/Genshin-Image-Hosting/main/Characters/Sucrose.png" TargetMode="External"/><Relationship Id="rId1089" Type="http://schemas.openxmlformats.org/officeDocument/2006/relationships/hyperlink" Target="https://raw.githubusercontent.com/ItsCryp7iC/Genshin-Image-Hosting/main/Weapons/TomeoftheEternalFlow.png" TargetMode="External"/><Relationship Id="rId16" Type="http://schemas.openxmlformats.org/officeDocument/2006/relationships/image" Target="../media/image8.png"/><Relationship Id="rId221" Type="http://schemas.openxmlformats.org/officeDocument/2006/relationships/hyperlink" Target="https://raw.githubusercontent.com/ItsCryp7iC/Genshin-Image-Hosting/main/Weapons/AquaSimulacra.png" TargetMode="External"/><Relationship Id="rId319" Type="http://schemas.openxmlformats.org/officeDocument/2006/relationships/hyperlink" Target="https://raw.githubusercontent.com/ItsCryp7iC/Genshin-Image-Hosting/main/Gems/VarunadaLazuriteChunk.png" TargetMode="External"/><Relationship Id="rId526" Type="http://schemas.openxmlformats.org/officeDocument/2006/relationships/image" Target="../media/image261.png"/><Relationship Id="rId733" Type="http://schemas.openxmlformats.org/officeDocument/2006/relationships/hyperlink" Target="https://raw.githubusercontent.com/ItsCryp7iC/Genshin-Image-Hosting/main/LocalSpecialties/SpringoftheFirstDewdrop.png" TargetMode="External"/><Relationship Id="rId940" Type="http://schemas.openxmlformats.org/officeDocument/2006/relationships/image" Target="../media/image468.png"/><Relationship Id="rId1016" Type="http://schemas.openxmlformats.org/officeDocument/2006/relationships/image" Target="../media/image506.png"/><Relationship Id="rId165" Type="http://schemas.openxmlformats.org/officeDocument/2006/relationships/hyperlink" Target="https://raw.githubusercontent.com/ItsCryp7iC/Genshin-Image-Hosting/main/MonsterDrops/3Star/XenochromaticCrystal.png" TargetMode="External"/><Relationship Id="rId372" Type="http://schemas.openxmlformats.org/officeDocument/2006/relationships/image" Target="../media/image186.png"/><Relationship Id="rId677" Type="http://schemas.openxmlformats.org/officeDocument/2006/relationships/hyperlink" Target="https://raw.githubusercontent.com/ItsCryp7iC/Genshin-Image-Hosting/main/LocalSpecialties/BerylConch.png" TargetMode="External"/><Relationship Id="rId800" Type="http://schemas.openxmlformats.org/officeDocument/2006/relationships/image" Target="../media/image398.png"/><Relationship Id="rId232" Type="http://schemas.openxmlformats.org/officeDocument/2006/relationships/image" Target="../media/image116.png"/><Relationship Id="rId884" Type="http://schemas.openxmlformats.org/officeDocument/2006/relationships/image" Target="../media/image440.png"/><Relationship Id="rId27" Type="http://schemas.openxmlformats.org/officeDocument/2006/relationships/hyperlink" Target="https://raw.githubusercontent.com/ItsCryp7iC/Genshin-Image-Hosting/main/MonsterDrops/2Star/SlimeSecretions.png" TargetMode="External"/><Relationship Id="rId537" Type="http://schemas.openxmlformats.org/officeDocument/2006/relationships/hyperlink" Target="https://raw.githubusercontent.com/ItsCryp7iC/Genshin-Image-Hosting/main/LocalSpecialties/SangoPearl.png" TargetMode="External"/><Relationship Id="rId744" Type="http://schemas.openxmlformats.org/officeDocument/2006/relationships/image" Target="../media/image370.png"/><Relationship Id="rId951" Type="http://schemas.openxmlformats.org/officeDocument/2006/relationships/hyperlink" Target="https://raw.githubusercontent.com/ItsCryp7iC/Genshin-Image-Hosting/main/Weapons/Moonpiercer.png" TargetMode="External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83" Type="http://schemas.openxmlformats.org/officeDocument/2006/relationships/hyperlink" Target="https://raw.githubusercontent.com/ItsCryp7iC/Genshin-Image-Hosting/main/LocalSpecialties/Qingxin.png" TargetMode="External"/><Relationship Id="rId590" Type="http://schemas.openxmlformats.org/officeDocument/2006/relationships/image" Target="../media/image293.png"/><Relationship Id="rId604" Type="http://schemas.openxmlformats.org/officeDocument/2006/relationships/image" Target="../media/image300.png"/><Relationship Id="rId811" Type="http://schemas.openxmlformats.org/officeDocument/2006/relationships/hyperlink" Target="https://raw.githubusercontent.com/ItsCryp7iC/Genshin-Image-Hosting/main/Weapons/Frostbearer.png" TargetMode="External"/><Relationship Id="rId1027" Type="http://schemas.openxmlformats.org/officeDocument/2006/relationships/hyperlink" Target="https://raw.githubusercontent.com/ItsCryp7iC/Genshin-Image-Hosting/main/Weapons/SkywardAtlas.png" TargetMode="External"/><Relationship Id="rId243" Type="http://schemas.openxmlformats.org/officeDocument/2006/relationships/hyperlink" Target="https://raw.githubusercontent.com/ItsCryp7iC/Genshin-Image-Hosting/main/Elements/cryo.png" TargetMode="External"/><Relationship Id="rId450" Type="http://schemas.openxmlformats.org/officeDocument/2006/relationships/image" Target="../media/image225.png"/><Relationship Id="rId688" Type="http://schemas.openxmlformats.org/officeDocument/2006/relationships/image" Target="../media/image342.png"/><Relationship Id="rId895" Type="http://schemas.openxmlformats.org/officeDocument/2006/relationships/hyperlink" Target="https://raw.githubusercontent.com/ItsCryp7iC/Genshin-Image-Hosting/main/Weapons/LionsRoar.png" TargetMode="External"/><Relationship Id="rId909" Type="http://schemas.openxmlformats.org/officeDocument/2006/relationships/hyperlink" Target="https://raw.githubusercontent.com/ItsCryp7iC/Genshin-Image-Hosting/main/Characters/HuTao.png" TargetMode="External"/><Relationship Id="rId1080" Type="http://schemas.openxmlformats.org/officeDocument/2006/relationships/image" Target="../media/image538.png"/><Relationship Id="rId38" Type="http://schemas.openxmlformats.org/officeDocument/2006/relationships/image" Target="../media/image19.png"/><Relationship Id="rId103" Type="http://schemas.openxmlformats.org/officeDocument/2006/relationships/hyperlink" Target="https://raw.githubusercontent.com/ItsCryp7iC/Genshin-Image-Hosting/main/WorldBoss/HoarfrostCore.png" TargetMode="External"/><Relationship Id="rId310" Type="http://schemas.openxmlformats.org/officeDocument/2006/relationships/image" Target="../media/image155.png"/><Relationship Id="rId548" Type="http://schemas.openxmlformats.org/officeDocument/2006/relationships/image" Target="../media/image272.png"/><Relationship Id="rId755" Type="http://schemas.openxmlformats.org/officeDocument/2006/relationships/hyperlink" Target="https://raw.githubusercontent.com/ItsCryp7iC/Genshin-Image-Hosting/main/Characters/Dori.png" TargetMode="External"/><Relationship Id="rId962" Type="http://schemas.openxmlformats.org/officeDocument/2006/relationships/image" Target="../media/image479.png"/><Relationship Id="rId91" Type="http://schemas.openxmlformats.org/officeDocument/2006/relationships/hyperlink" Target="https://raw.githubusercontent.com/ItsCryp7iC/Genshin-Image-Hosting/main/Elements/pyro.png" TargetMode="External"/><Relationship Id="rId187" Type="http://schemas.openxmlformats.org/officeDocument/2006/relationships/hyperlink" Target="https://raw.githubusercontent.com/ItsCryp7iC/Genshin-Image-Hosting/main/Billets/catalyst.png" TargetMode="External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615" Type="http://schemas.openxmlformats.org/officeDocument/2006/relationships/hyperlink" Target="https://raw.githubusercontent.com/ItsCryp7iC/Genshin-Image-Hosting/main/Gems/PrithivaTopazChunk.png" TargetMode="External"/><Relationship Id="rId822" Type="http://schemas.openxmlformats.org/officeDocument/2006/relationships/image" Target="../media/image409.png"/><Relationship Id="rId1038" Type="http://schemas.openxmlformats.org/officeDocument/2006/relationships/image" Target="../media/image517.png"/><Relationship Id="rId254" Type="http://schemas.openxmlformats.org/officeDocument/2006/relationships/image" Target="../media/image127.png"/><Relationship Id="rId699" Type="http://schemas.openxmlformats.org/officeDocument/2006/relationships/hyperlink" Target="https://raw.githubusercontent.com/ItsCryp7iC/Genshin-Image-Hosting/main/Characters/Yelan.png" TargetMode="External"/><Relationship Id="rId1091" Type="http://schemas.openxmlformats.org/officeDocument/2006/relationships/hyperlink" Target="https://raw.githubusercontent.com/ItsCryp7iC/Genshin-Image-Hosting/main/Weapons/ToukabouShigure.png" TargetMode="External"/><Relationship Id="rId1105" Type="http://schemas.openxmlformats.org/officeDocument/2006/relationships/hyperlink" Target="https://raw.githubusercontent.com/ItsCryp7iC/Genshin-Image-Hosting/main/Weapons/VortexVanquisher.png" TargetMode="External"/><Relationship Id="rId49" Type="http://schemas.openxmlformats.org/officeDocument/2006/relationships/hyperlink" Target="https://raw.githubusercontent.com/ItsCryp7iC/Genshin-Image-Hosting/main/Elements/dendro.png" TargetMode="External"/><Relationship Id="rId114" Type="http://schemas.openxmlformats.org/officeDocument/2006/relationships/image" Target="../media/image57.png"/><Relationship Id="rId461" Type="http://schemas.openxmlformats.org/officeDocument/2006/relationships/hyperlink" Target="https://raw.githubusercontent.com/ItsCryp7iC/Genshin-Image-Hosting/main/Characters/Qiqi.png" TargetMode="External"/><Relationship Id="rId559" Type="http://schemas.openxmlformats.org/officeDocument/2006/relationships/hyperlink" Target="https://raw.githubusercontent.com/ItsCryp7iC/Genshin-Image-Hosting/main/TalentBooks/GuidetoLight.png" TargetMode="External"/><Relationship Id="rId766" Type="http://schemas.openxmlformats.org/officeDocument/2006/relationships/image" Target="../media/image381.png"/><Relationship Id="rId198" Type="http://schemas.openxmlformats.org/officeDocument/2006/relationships/image" Target="../media/image99.png"/><Relationship Id="rId321" Type="http://schemas.openxmlformats.org/officeDocument/2006/relationships/hyperlink" Target="https://raw.githubusercontent.com/ItsCryp7iC/Genshin-Image-Hosting/main/Weapons/BalladoftheFjords.png" TargetMode="External"/><Relationship Id="rId419" Type="http://schemas.openxmlformats.org/officeDocument/2006/relationships/hyperlink" Target="https://raw.githubusercontent.com/ItsCryp7iC/Genshin-Image-Hosting/main/WeeklyBoss/AshenHeart.png" TargetMode="External"/><Relationship Id="rId626" Type="http://schemas.openxmlformats.org/officeDocument/2006/relationships/image" Target="../media/image311.png"/><Relationship Id="rId973" Type="http://schemas.openxmlformats.org/officeDocument/2006/relationships/hyperlink" Target="https://raw.githubusercontent.com/ItsCryp7iC/Genshin-Image-Hosting/main/Weapons/PrototypeArchaic.png" TargetMode="External"/><Relationship Id="rId1049" Type="http://schemas.openxmlformats.org/officeDocument/2006/relationships/hyperlink" Target="https://raw.githubusercontent.com/ItsCryp7iC/Genshin-Image-Hosting/main/Weapons/StaffofHoma.png" TargetMode="External"/><Relationship Id="rId833" Type="http://schemas.openxmlformats.org/officeDocument/2006/relationships/hyperlink" Target="https://raw.githubusercontent.com/ItsCryp7iC/Genshin-Image-Hosting/main/Characters/Charlotte.png" TargetMode="External"/><Relationship Id="rId1116" Type="http://schemas.openxmlformats.org/officeDocument/2006/relationships/image" Target="../media/image556.png"/><Relationship Id="rId265" Type="http://schemas.openxmlformats.org/officeDocument/2006/relationships/hyperlink" Target="https://raw.githubusercontent.com/ItsCryp7iC/Genshin-Image-Hosting/main/MonsterDrops/2Star/KageuchiHandguard.png" TargetMode="External"/><Relationship Id="rId472" Type="http://schemas.openxmlformats.org/officeDocument/2006/relationships/image" Target="../media/image236.png"/><Relationship Id="rId900" Type="http://schemas.openxmlformats.org/officeDocument/2006/relationships/image" Target="../media/image448.png"/><Relationship Id="rId125" Type="http://schemas.openxmlformats.org/officeDocument/2006/relationships/hyperlink" Target="https://raw.githubusercontent.com/ItsCryp7iC/Genshin-Image-Hosting/main/Experience/EnhancementOre.png" TargetMode="External"/><Relationship Id="rId332" Type="http://schemas.openxmlformats.org/officeDocument/2006/relationships/image" Target="../media/image166.png"/><Relationship Id="rId777" Type="http://schemas.openxmlformats.org/officeDocument/2006/relationships/hyperlink" Target="https://raw.githubusercontent.com/ItsCryp7iC/Genshin-Image-Hosting/main/WeaponMaterials/FragmentofanAncientChord.png" TargetMode="External"/><Relationship Id="rId984" Type="http://schemas.openxmlformats.org/officeDocument/2006/relationships/image" Target="../media/image490.png"/><Relationship Id="rId637" Type="http://schemas.openxmlformats.org/officeDocument/2006/relationships/hyperlink" Target="https://raw.githubusercontent.com/ItsCryp7iC/Genshin-Image-Hosting/main/Weapons/DodocoTales.png" TargetMode="External"/><Relationship Id="rId844" Type="http://schemas.openxmlformats.org/officeDocument/2006/relationships/image" Target="../media/image420.png"/><Relationship Id="rId276" Type="http://schemas.openxmlformats.org/officeDocument/2006/relationships/image" Target="../media/image138.png"/><Relationship Id="rId483" Type="http://schemas.openxmlformats.org/officeDocument/2006/relationships/hyperlink" Target="https://raw.githubusercontent.com/ItsCryp7iC/Genshin-Image-Hosting/main/Weapons/CalamityQueller.png" TargetMode="External"/><Relationship Id="rId690" Type="http://schemas.openxmlformats.org/officeDocument/2006/relationships/image" Target="../media/image343.png"/><Relationship Id="rId704" Type="http://schemas.openxmlformats.org/officeDocument/2006/relationships/image" Target="../media/image350.png"/><Relationship Id="rId911" Type="http://schemas.openxmlformats.org/officeDocument/2006/relationships/hyperlink" Target="https://raw.githubusercontent.com/ItsCryp7iC/Genshin-Image-Hosting/main/Weapons/LuxuriousSeaLord.png" TargetMode="External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343" Type="http://schemas.openxmlformats.org/officeDocument/2006/relationships/hyperlink" Target="https://raw.githubusercontent.com/ItsCryp7iC/Genshin-Image-Hosting/main/Weapons/BeaconoftheReedSea.png" TargetMode="External"/><Relationship Id="rId550" Type="http://schemas.openxmlformats.org/officeDocument/2006/relationships/image" Target="../media/image273.png"/><Relationship Id="rId788" Type="http://schemas.openxmlformats.org/officeDocument/2006/relationships/image" Target="../media/image392.png"/><Relationship Id="rId995" Type="http://schemas.openxmlformats.org/officeDocument/2006/relationships/hyperlink" Target="https://raw.githubusercontent.com/ItsCryp7iC/Genshin-Image-Hosting/main/Weapons/RoyalGreatsword.png" TargetMode="External"/><Relationship Id="rId203" Type="http://schemas.openxmlformats.org/officeDocument/2006/relationships/hyperlink" Target="https://raw.githubusercontent.com/ItsCryp7iC/Genshin-Image-Hosting/main/LocalSpecialties/LakelightLily.png" TargetMode="External"/><Relationship Id="rId648" Type="http://schemas.openxmlformats.org/officeDocument/2006/relationships/image" Target="../media/image322.png"/><Relationship Id="rId855" Type="http://schemas.openxmlformats.org/officeDocument/2006/relationships/hyperlink" Target="https://raw.githubusercontent.com/ItsCryp7iC/Genshin-Image-Hosting/main/Weapons/IbisPiercer.png" TargetMode="External"/><Relationship Id="rId1040" Type="http://schemas.openxmlformats.org/officeDocument/2006/relationships/image" Target="../media/image518.png"/><Relationship Id="rId287" Type="http://schemas.openxmlformats.org/officeDocument/2006/relationships/hyperlink" Target="https://raw.githubusercontent.com/ItsCryp7iC/Genshin-Image-Hosting/main/MonsterDrops/1Star/SpectralHusk.png" TargetMode="External"/><Relationship Id="rId410" Type="http://schemas.openxmlformats.org/officeDocument/2006/relationships/image" Target="../media/image205.png"/><Relationship Id="rId494" Type="http://schemas.openxmlformats.org/officeDocument/2006/relationships/hyperlink" Target="https://raw.githubusercontent.com/ItsCryp7iC/Genshin-Image-Hosting/main/Gems/VajradaAmethystSilver.png" TargetMode="External"/><Relationship Id="rId508" Type="http://schemas.openxmlformats.org/officeDocument/2006/relationships/image" Target="../media/image253.png"/><Relationship Id="rId715" Type="http://schemas.openxmlformats.org/officeDocument/2006/relationships/hyperlink" Target="https://raw.githubusercontent.com/ItsCryp7iC/Genshin-Image-Hosting/main/TalentBooks/GuidetoJustice.png" TargetMode="External"/><Relationship Id="rId922" Type="http://schemas.openxmlformats.org/officeDocument/2006/relationships/image" Target="../media/image459.png"/><Relationship Id="rId147" Type="http://schemas.openxmlformats.org/officeDocument/2006/relationships/hyperlink" Target="https://raw.githubusercontent.com/ItsCryp7iC/Genshin-Image-Hosting/main/Gems/BrilliantDiamondSilver.png" TargetMode="External"/><Relationship Id="rId354" Type="http://schemas.openxmlformats.org/officeDocument/2006/relationships/image" Target="../media/image177.png"/><Relationship Id="rId799" Type="http://schemas.openxmlformats.org/officeDocument/2006/relationships/hyperlink" Target="https://raw.githubusercontent.com/ItsCryp7iC/Genshin-Image-Hosting/main/Weapons/ForestRegalia.png" TargetMode="External"/><Relationship Id="rId51" Type="http://schemas.openxmlformats.org/officeDocument/2006/relationships/hyperlink" Target="https://raw.githubusercontent.com/ItsCryp7iC/Genshin-Image-Hosting/main/WorldBoss/PseudoStamens.png" TargetMode="External"/><Relationship Id="rId561" Type="http://schemas.openxmlformats.org/officeDocument/2006/relationships/hyperlink" Target="https://raw.githubusercontent.com/ItsCryp7iC/Genshin-Image-Hosting/main/LocalSpecialties/FluorescentFungus.png" TargetMode="External"/><Relationship Id="rId659" Type="http://schemas.openxmlformats.org/officeDocument/2006/relationships/hyperlink" Target="https://raw.githubusercontent.com/ItsCryp7iC/Genshin-Image-Hosting/main/Weapons/DragonspineSpear.png" TargetMode="External"/><Relationship Id="rId866" Type="http://schemas.openxmlformats.org/officeDocument/2006/relationships/image" Target="../media/image431.png"/><Relationship Id="rId214" Type="http://schemas.openxmlformats.org/officeDocument/2006/relationships/image" Target="../media/image107.png"/><Relationship Id="rId298" Type="http://schemas.openxmlformats.org/officeDocument/2006/relationships/image" Target="../media/image149.png"/><Relationship Id="rId421" Type="http://schemas.openxmlformats.org/officeDocument/2006/relationships/hyperlink" Target="https://raw.githubusercontent.com/ItsCryp7iC/Genshin-Image-Hosting/main/TalentBooks/TeachingsofDiligence.png" TargetMode="External"/><Relationship Id="rId519" Type="http://schemas.openxmlformats.org/officeDocument/2006/relationships/image" Target="../media/image258.png"/><Relationship Id="rId1051" Type="http://schemas.openxmlformats.org/officeDocument/2006/relationships/hyperlink" Target="https://raw.githubusercontent.com/ItsCryp7iC/Genshin-Image-Hosting/main/Weapons/StaffoftheScarletSands.png" TargetMode="External"/><Relationship Id="rId158" Type="http://schemas.openxmlformats.org/officeDocument/2006/relationships/image" Target="../media/image79.png"/><Relationship Id="rId726" Type="http://schemas.openxmlformats.org/officeDocument/2006/relationships/image" Target="../media/image361.png"/><Relationship Id="rId933" Type="http://schemas.openxmlformats.org/officeDocument/2006/relationships/hyperlink" Target="https://raw.githubusercontent.com/ItsCryp7iC/Genshin-Image-Hosting/main/Characters/Xiangling.png" TargetMode="External"/><Relationship Id="rId1009" Type="http://schemas.openxmlformats.org/officeDocument/2006/relationships/hyperlink" Target="https://raw.githubusercontent.com/ItsCryp7iC/Genshin-Image-Hosting/main/Weapons/SacrificialGreatsword.png" TargetMode="External"/><Relationship Id="rId62" Type="http://schemas.openxmlformats.org/officeDocument/2006/relationships/image" Target="../media/image31.png"/><Relationship Id="rId365" Type="http://schemas.openxmlformats.org/officeDocument/2006/relationships/hyperlink" Target="https://raw.githubusercontent.com/ItsCryp7iC/Genshin-Image-Hosting/main/Characters/Kirara.png" TargetMode="External"/><Relationship Id="rId572" Type="http://schemas.openxmlformats.org/officeDocument/2006/relationships/image" Target="../media/image284.png"/><Relationship Id="rId225" Type="http://schemas.openxmlformats.org/officeDocument/2006/relationships/hyperlink" Target="https://raw.githubusercontent.com/ItsCryp7iC/Genshin-Image-Hosting/main/Characters/Jean.png" TargetMode="External"/><Relationship Id="rId432" Type="http://schemas.openxmlformats.org/officeDocument/2006/relationships/image" Target="../media/image216.png"/><Relationship Id="rId877" Type="http://schemas.openxmlformats.org/officeDocument/2006/relationships/hyperlink" Target="https://raw.githubusercontent.com/ItsCryp7iC/Genshin-Image-Hosting/main/Characters/Wanderer.png" TargetMode="External"/><Relationship Id="rId1062" Type="http://schemas.openxmlformats.org/officeDocument/2006/relationships/image" Target="../media/image529.png"/><Relationship Id="rId737" Type="http://schemas.openxmlformats.org/officeDocument/2006/relationships/hyperlink" Target="https://raw.githubusercontent.com/ItsCryp7iC/Genshin-Image-Hosting/main/WeaponMaterials/OasisGardensMourning.png" TargetMode="External"/><Relationship Id="rId944" Type="http://schemas.openxmlformats.org/officeDocument/2006/relationships/image" Target="../media/image470.png"/><Relationship Id="rId73" Type="http://schemas.openxmlformats.org/officeDocument/2006/relationships/hyperlink" Target="https://raw.githubusercontent.com/ItsCryp7iC/Genshin-Image-Hosting/main/TalentBooks/GuidetoFreedom.png" TargetMode="External"/><Relationship Id="rId169" Type="http://schemas.openxmlformats.org/officeDocument/2006/relationships/hyperlink" Target="https://raw.githubusercontent.com/ItsCryp7iC/Genshin-Image-Hosting/main/Gems/VajradaAmethystGemstone.png" TargetMode="External"/><Relationship Id="rId376" Type="http://schemas.openxmlformats.org/officeDocument/2006/relationships/image" Target="../media/image188.png"/><Relationship Id="rId583" Type="http://schemas.openxmlformats.org/officeDocument/2006/relationships/hyperlink" Target="https://raw.githubusercontent.com/ItsCryp7iC/Genshin-Image-Hosting/main/Characters/Diona.png" TargetMode="External"/><Relationship Id="rId790" Type="http://schemas.openxmlformats.org/officeDocument/2006/relationships/image" Target="../media/image393.png"/><Relationship Id="rId804" Type="http://schemas.openxmlformats.org/officeDocument/2006/relationships/image" Target="../media/image400.png"/><Relationship Id="rId4" Type="http://schemas.openxmlformats.org/officeDocument/2006/relationships/image" Target="../media/image2.png"/><Relationship Id="rId236" Type="http://schemas.openxmlformats.org/officeDocument/2006/relationships/image" Target="../media/image118.png"/><Relationship Id="rId443" Type="http://schemas.openxmlformats.org/officeDocument/2006/relationships/hyperlink" Target="https://raw.githubusercontent.com/ItsCryp7iC/Genshin-Image-Hosting/main/WeaponMaterials/DivineBodyfromGuyun.png" TargetMode="External"/><Relationship Id="rId650" Type="http://schemas.openxmlformats.org/officeDocument/2006/relationships/image" Target="../media/image323.png"/><Relationship Id="rId888" Type="http://schemas.openxmlformats.org/officeDocument/2006/relationships/image" Target="../media/image442.png"/><Relationship Id="rId1073" Type="http://schemas.openxmlformats.org/officeDocument/2006/relationships/hyperlink" Target="https://raw.githubusercontent.com/ItsCryp7iC/Genshin-Image-Hosting/main/Weapons/TheFlute.png" TargetMode="External"/><Relationship Id="rId303" Type="http://schemas.openxmlformats.org/officeDocument/2006/relationships/hyperlink" Target="https://raw.githubusercontent.com/ItsCryp7iC/Genshin-Image-Hosting/main/TalentBooks/PhilosophiesofElegance.png" TargetMode="External"/><Relationship Id="rId748" Type="http://schemas.openxmlformats.org/officeDocument/2006/relationships/image" Target="../media/image372.png"/><Relationship Id="rId955" Type="http://schemas.openxmlformats.org/officeDocument/2006/relationships/hyperlink" Target="https://raw.githubusercontent.com/ItsCryp7iC/Genshin-Image-Hosting/main/Weapons/OathswornEye.png" TargetMode="External"/><Relationship Id="rId84" Type="http://schemas.openxmlformats.org/officeDocument/2006/relationships/image" Target="../media/image42.png"/><Relationship Id="rId387" Type="http://schemas.openxmlformats.org/officeDocument/2006/relationships/hyperlink" Target="https://raw.githubusercontent.com/ItsCryp7iC/Genshin-Image-Hosting/main/WeaponMaterials/LuminousSandsfromGuyun.png" TargetMode="External"/><Relationship Id="rId510" Type="http://schemas.openxmlformats.org/officeDocument/2006/relationships/image" Target="../media/image254.png"/><Relationship Id="rId594" Type="http://schemas.openxmlformats.org/officeDocument/2006/relationships/image" Target="../media/image295.png"/><Relationship Id="rId608" Type="http://schemas.openxmlformats.org/officeDocument/2006/relationships/image" Target="../media/image302.png"/><Relationship Id="rId815" Type="http://schemas.openxmlformats.org/officeDocument/2006/relationships/hyperlink" Target="https://raw.githubusercontent.com/ItsCryp7iC/Genshin-Image-Hosting/main/Characters/Arlecchino.png" TargetMode="External"/><Relationship Id="rId247" Type="http://schemas.openxmlformats.org/officeDocument/2006/relationships/hyperlink" Target="https://raw.githubusercontent.com/ItsCryp7iC/Genshin-Image-Hosting/main/WeaponMaterials/BorealWolfsBrokenFang.png" TargetMode="External"/><Relationship Id="rId899" Type="http://schemas.openxmlformats.org/officeDocument/2006/relationships/hyperlink" Target="https://raw.githubusercontent.com/ItsCryp7iC/Genshin-Image-Hosting/main/Weapons/LithicBlade.png" TargetMode="External"/><Relationship Id="rId1000" Type="http://schemas.openxmlformats.org/officeDocument/2006/relationships/image" Target="../media/image498.png"/><Relationship Id="rId1084" Type="http://schemas.openxmlformats.org/officeDocument/2006/relationships/image" Target="../media/image540.png"/><Relationship Id="rId107" Type="http://schemas.openxmlformats.org/officeDocument/2006/relationships/hyperlink" Target="https://raw.githubusercontent.com/ItsCryp7iC/Genshin-Image-Hosting/main/MonsterDrops/2Star/SealedScroll.png" TargetMode="External"/><Relationship Id="rId454" Type="http://schemas.openxmlformats.org/officeDocument/2006/relationships/image" Target="../media/image227.png"/><Relationship Id="rId661" Type="http://schemas.openxmlformats.org/officeDocument/2006/relationships/hyperlink" Target="https://raw.githubusercontent.com/ItsCryp7iC/Genshin-Image-Hosting/main/WeaponMaterials/MaskoftheTigersBite.png" TargetMode="External"/><Relationship Id="rId759" Type="http://schemas.openxmlformats.org/officeDocument/2006/relationships/hyperlink" Target="https://raw.githubusercontent.com/ItsCryp7iC/Genshin-Image-Hosting/main/WeaponMaterials/RemnantGlowofScorchingMight.png" TargetMode="External"/><Relationship Id="rId966" Type="http://schemas.openxmlformats.org/officeDocument/2006/relationships/image" Target="../media/image481.png"/><Relationship Id="rId11" Type="http://schemas.openxmlformats.org/officeDocument/2006/relationships/hyperlink" Target="https://raw.githubusercontent.com/ItsCryp7iC/Genshin-Image-Hosting/main/WeeklyBoss/TuskofMonocerosCaeli.png" TargetMode="External"/><Relationship Id="rId314" Type="http://schemas.openxmlformats.org/officeDocument/2006/relationships/image" Target="../media/image157.png"/><Relationship Id="rId398" Type="http://schemas.openxmlformats.org/officeDocument/2006/relationships/image" Target="../media/image199.png"/><Relationship Id="rId521" Type="http://schemas.openxmlformats.org/officeDocument/2006/relationships/image" Target="../media/image259.png"/><Relationship Id="rId619" Type="http://schemas.openxmlformats.org/officeDocument/2006/relationships/hyperlink" Target="https://raw.githubusercontent.com/ItsCryp7iC/Genshin-Image-Hosting/main/WeaponMaterials/NarukamisJoy.png" TargetMode="External"/><Relationship Id="rId95" Type="http://schemas.openxmlformats.org/officeDocument/2006/relationships/hyperlink" Target="https://raw.githubusercontent.com/ItsCryp7iC/Genshin-Image-Hosting/main/TalentBooks/PhilosophiesofResistance.png" TargetMode="External"/><Relationship Id="rId160" Type="http://schemas.openxmlformats.org/officeDocument/2006/relationships/image" Target="../media/image80.png"/><Relationship Id="rId826" Type="http://schemas.openxmlformats.org/officeDocument/2006/relationships/image" Target="../media/image411.png"/><Relationship Id="rId1011" Type="http://schemas.openxmlformats.org/officeDocument/2006/relationships/hyperlink" Target="https://raw.githubusercontent.com/ItsCryp7iC/Genshin-Image-Hosting/main/Weapons/SacrificialJade.png" TargetMode="External"/><Relationship Id="rId1109" Type="http://schemas.openxmlformats.org/officeDocument/2006/relationships/hyperlink" Target="https://raw.githubusercontent.com/ItsCryp7iC/Genshin-Image-Hosting/main/Weapons/WavebreakersFin.png" TargetMode="External"/><Relationship Id="rId258" Type="http://schemas.openxmlformats.org/officeDocument/2006/relationships/image" Target="../media/image129.png"/><Relationship Id="rId465" Type="http://schemas.openxmlformats.org/officeDocument/2006/relationships/hyperlink" Target="https://raw.githubusercontent.com/ItsCryp7iC/Genshin-Image-Hosting/main/WeeklyBoss/TheMeaningofAeons.png" TargetMode="External"/><Relationship Id="rId672" Type="http://schemas.openxmlformats.org/officeDocument/2006/relationships/image" Target="../media/image334.png"/><Relationship Id="rId1095" Type="http://schemas.openxmlformats.org/officeDocument/2006/relationships/hyperlink" Target="https://raw.githubusercontent.com/ItsCryp7iC/Genshin-Image-Hosting/main/Weapons/TulaytullahsRemembrance.png" TargetMode="External"/><Relationship Id="rId22" Type="http://schemas.openxmlformats.org/officeDocument/2006/relationships/image" Target="../media/image11.png"/><Relationship Id="rId118" Type="http://schemas.openxmlformats.org/officeDocument/2006/relationships/image" Target="../media/image59.png"/><Relationship Id="rId325" Type="http://schemas.openxmlformats.org/officeDocument/2006/relationships/hyperlink" Target="https://raw.githubusercontent.com/ItsCryp7iC/Genshin-Image-Hosting/main/Characters/KamisatoAyato.png" TargetMode="External"/><Relationship Id="rId532" Type="http://schemas.openxmlformats.org/officeDocument/2006/relationships/image" Target="../media/image264.png"/><Relationship Id="rId977" Type="http://schemas.openxmlformats.org/officeDocument/2006/relationships/hyperlink" Target="https://raw.githubusercontent.com/ItsCryp7iC/Genshin-Image-Hosting/main/Weapons/PrototypeRancour.png" TargetMode="External"/><Relationship Id="rId171" Type="http://schemas.openxmlformats.org/officeDocument/2006/relationships/hyperlink" Target="https://raw.githubusercontent.com/ItsCryp7iC/Genshin-Image-Hosting/main/WorldBoss/CleansingHeart.png" TargetMode="External"/><Relationship Id="rId837" Type="http://schemas.openxmlformats.org/officeDocument/2006/relationships/hyperlink" Target="https://raw.githubusercontent.com/ItsCryp7iC/Genshin-Image-Hosting/main/WeaponMaterials/SilverGobletofthePristineSea.png" TargetMode="External"/><Relationship Id="rId1022" Type="http://schemas.openxmlformats.org/officeDocument/2006/relationships/image" Target="../media/image509.png"/><Relationship Id="rId269" Type="http://schemas.openxmlformats.org/officeDocument/2006/relationships/hyperlink" Target="https://raw.githubusercontent.com/ItsCryp7iC/Genshin-Image-Hosting/main/TalentBooks/GuidetoBallad.png" TargetMode="External"/><Relationship Id="rId476" Type="http://schemas.openxmlformats.org/officeDocument/2006/relationships/image" Target="../media/image238.png"/><Relationship Id="rId683" Type="http://schemas.openxmlformats.org/officeDocument/2006/relationships/hyperlink" Target="https://raw.githubusercontent.com/ItsCryp7iC/Genshin-Image-Hosting/main/Characters/Tighnari.png" TargetMode="External"/><Relationship Id="rId890" Type="http://schemas.openxmlformats.org/officeDocument/2006/relationships/image" Target="../media/image443.png"/><Relationship Id="rId904" Type="http://schemas.openxmlformats.org/officeDocument/2006/relationships/image" Target="../media/image450.png"/><Relationship Id="rId33" Type="http://schemas.openxmlformats.org/officeDocument/2006/relationships/hyperlink" Target="https://raw.githubusercontent.com/ItsCryp7iC/Genshin-Image-Hosting/main/LocalSpecialties/Wolfhook.png" TargetMode="External"/><Relationship Id="rId129" Type="http://schemas.openxmlformats.org/officeDocument/2006/relationships/hyperlink" Target="https://raw.githubusercontent.com/ItsCryp7iC/Genshin-Image-Hosting/main/WorldBoss/ArtificedSpareClockworkComponentCoppelia.png" TargetMode="External"/><Relationship Id="rId336" Type="http://schemas.openxmlformats.org/officeDocument/2006/relationships/image" Target="../media/image168.png"/><Relationship Id="rId543" Type="http://schemas.openxmlformats.org/officeDocument/2006/relationships/hyperlink" Target="https://raw.githubusercontent.com/ItsCryp7iC/Genshin-Image-Hosting/main/WeaponMaterials/ChunkofAerosiderite.png" TargetMode="External"/><Relationship Id="rId988" Type="http://schemas.openxmlformats.org/officeDocument/2006/relationships/image" Target="../media/image492.png"/><Relationship Id="rId182" Type="http://schemas.openxmlformats.org/officeDocument/2006/relationships/image" Target="../media/image91.png"/><Relationship Id="rId403" Type="http://schemas.openxmlformats.org/officeDocument/2006/relationships/hyperlink" Target="https://raw.githubusercontent.com/ItsCryp7iC/Genshin-Image-Hosting/main/LocalSpecialties/Starconch.png" TargetMode="External"/><Relationship Id="rId750" Type="http://schemas.openxmlformats.org/officeDocument/2006/relationships/image" Target="../media/image373.png"/><Relationship Id="rId848" Type="http://schemas.openxmlformats.org/officeDocument/2006/relationships/image" Target="../media/image422.png"/><Relationship Id="rId1033" Type="http://schemas.openxmlformats.org/officeDocument/2006/relationships/hyperlink" Target="https://raw.githubusercontent.com/ItsCryp7iC/Genshin-Image-Hosting/main/Weapons/SkywardPride.png" TargetMode="External"/><Relationship Id="rId487" Type="http://schemas.openxmlformats.org/officeDocument/2006/relationships/hyperlink" Target="https://raw.githubusercontent.com/ItsCryp7iC/Genshin-Image-Hosting/main/Characters/TravelerGeo.png" TargetMode="External"/><Relationship Id="rId610" Type="http://schemas.openxmlformats.org/officeDocument/2006/relationships/image" Target="../media/image303.png"/><Relationship Id="rId694" Type="http://schemas.openxmlformats.org/officeDocument/2006/relationships/image" Target="../media/image345.png"/><Relationship Id="rId708" Type="http://schemas.openxmlformats.org/officeDocument/2006/relationships/image" Target="../media/image352.png"/><Relationship Id="rId915" Type="http://schemas.openxmlformats.org/officeDocument/2006/relationships/hyperlink" Target="https://raw.githubusercontent.com/ItsCryp7iC/Genshin-Image-Hosting/main/Weapons/MagicGuide.png" TargetMode="External"/><Relationship Id="rId347" Type="http://schemas.openxmlformats.org/officeDocument/2006/relationships/hyperlink" Target="https://raw.githubusercontent.com/ItsCryp7iC/Genshin-Image-Hosting/main/Characters/Keqing.png" TargetMode="External"/><Relationship Id="rId999" Type="http://schemas.openxmlformats.org/officeDocument/2006/relationships/hyperlink" Target="https://raw.githubusercontent.com/ItsCryp7iC/Genshin-Image-Hosting/main/Weapons/RoyalLongsword.png" TargetMode="External"/><Relationship Id="rId1100" Type="http://schemas.openxmlformats.org/officeDocument/2006/relationships/image" Target="../media/image548.png"/><Relationship Id="rId44" Type="http://schemas.openxmlformats.org/officeDocument/2006/relationships/image" Target="../media/image22.png"/><Relationship Id="rId554" Type="http://schemas.openxmlformats.org/officeDocument/2006/relationships/image" Target="../media/image275.png"/><Relationship Id="rId761" Type="http://schemas.openxmlformats.org/officeDocument/2006/relationships/hyperlink" Target="https://raw.githubusercontent.com/ItsCryp7iC/Genshin-Image-Hosting/main/Characters/Eula.png" TargetMode="External"/><Relationship Id="rId859" Type="http://schemas.openxmlformats.org/officeDocument/2006/relationships/hyperlink" Target="https://raw.githubusercontent.com/ItsCryp7iC/Genshin-Image-Hosting/main/Weapons/IronSting.png" TargetMode="External"/><Relationship Id="rId193" Type="http://schemas.openxmlformats.org/officeDocument/2006/relationships/hyperlink" Target="https://raw.githubusercontent.com/ItsCryp7iC/Genshin-Image-Hosting/main/WeaponMaterials/BorealWolfsMilkTooth.png" TargetMode="External"/><Relationship Id="rId207" Type="http://schemas.openxmlformats.org/officeDocument/2006/relationships/hyperlink" Target="https://raw.githubusercontent.com/ItsCryp7iC/Genshin-Image-Hosting/main/WeeklyBoss/SpiritLocketofBoreas.png" TargetMode="External"/><Relationship Id="rId414" Type="http://schemas.openxmlformats.org/officeDocument/2006/relationships/image" Target="../media/image207.png"/><Relationship Id="rId498" Type="http://schemas.openxmlformats.org/officeDocument/2006/relationships/hyperlink" Target="https://raw.githubusercontent.com/ItsCryp7iC/Genshin-Image-Hosting/main/WeaponMaterials/MistVeiledPrimoElixir.png" TargetMode="External"/><Relationship Id="rId621" Type="http://schemas.openxmlformats.org/officeDocument/2006/relationships/hyperlink" Target="https://raw.githubusercontent.com/ItsCryp7iC/Genshin-Image-Hosting/main/Characters/Ganyu.png" TargetMode="External"/><Relationship Id="rId1044" Type="http://schemas.openxmlformats.org/officeDocument/2006/relationships/image" Target="../media/image520.png"/><Relationship Id="rId260" Type="http://schemas.openxmlformats.org/officeDocument/2006/relationships/image" Target="../media/image130.png"/><Relationship Id="rId719" Type="http://schemas.openxmlformats.org/officeDocument/2006/relationships/hyperlink" Target="https://raw.githubusercontent.com/ItsCryp7iC/Genshin-Image-Hosting/main/WeaponMaterials/OasisGardensReminiscence.png" TargetMode="External"/><Relationship Id="rId926" Type="http://schemas.openxmlformats.org/officeDocument/2006/relationships/image" Target="../media/image461.png"/><Relationship Id="rId1111" Type="http://schemas.openxmlformats.org/officeDocument/2006/relationships/hyperlink" Target="https://raw.githubusercontent.com/ItsCryp7iC/Genshin-Image-Hosting/main/Weapons/Whiteblind.png" TargetMode="External"/><Relationship Id="rId55" Type="http://schemas.openxmlformats.org/officeDocument/2006/relationships/hyperlink" Target="https://raw.githubusercontent.com/ItsCryp7iC/Genshin-Image-Hosting/main/TalentBooks/PhilosophiesofIngenuity.png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565" Type="http://schemas.openxmlformats.org/officeDocument/2006/relationships/hyperlink" Target="https://raw.githubusercontent.com/ItsCryp7iC/Genshin-Image-Hosting/main/Weapons/CrescentPike.png" TargetMode="External"/><Relationship Id="rId772" Type="http://schemas.openxmlformats.org/officeDocument/2006/relationships/image" Target="../media/image384.png"/><Relationship Id="rId218" Type="http://schemas.openxmlformats.org/officeDocument/2006/relationships/image" Target="../media/image109.png"/><Relationship Id="rId425" Type="http://schemas.openxmlformats.org/officeDocument/2006/relationships/hyperlink" Target="https://raw.githubusercontent.com/ItsCryp7iC/Genshin-Image-Hosting/main/Gems/NagadusEmeraldFragment.png" TargetMode="External"/><Relationship Id="rId632" Type="http://schemas.openxmlformats.org/officeDocument/2006/relationships/image" Target="../media/image314.png"/><Relationship Id="rId1055" Type="http://schemas.openxmlformats.org/officeDocument/2006/relationships/hyperlink" Target="https://raw.githubusercontent.com/ItsCryp7iC/Genshin-Image-Hosting/main/Weapons/SwordofDescension.png" TargetMode="External"/><Relationship Id="rId271" Type="http://schemas.openxmlformats.org/officeDocument/2006/relationships/hyperlink" Target="https://raw.githubusercontent.com/ItsCryp7iC/Genshin-Image-Hosting/main/Gems/AgnidusAgateSilver.png" TargetMode="External"/><Relationship Id="rId937" Type="http://schemas.openxmlformats.org/officeDocument/2006/relationships/hyperlink" Target="https://raw.githubusercontent.com/ItsCryp7iC/Genshin-Image-Hosting/main/Characters/Xiao.png" TargetMode="External"/><Relationship Id="rId1122" Type="http://schemas.openxmlformats.org/officeDocument/2006/relationships/image" Target="../media/image559.png"/><Relationship Id="rId66" Type="http://schemas.openxmlformats.org/officeDocument/2006/relationships/image" Target="../media/image33.png"/><Relationship Id="rId131" Type="http://schemas.openxmlformats.org/officeDocument/2006/relationships/hyperlink" Target="https://raw.githubusercontent.com/ItsCryp7iC/Genshin-Image-Hosting/main/WeeklyBoss/LightlessSilkString.png" TargetMode="External"/><Relationship Id="rId369" Type="http://schemas.openxmlformats.org/officeDocument/2006/relationships/hyperlink" Target="https://raw.githubusercontent.com/ItsCryp7iC/Genshin-Image-Hosting/main/TalentBooks/PhilosophiesofTransience.png" TargetMode="External"/><Relationship Id="rId576" Type="http://schemas.openxmlformats.org/officeDocument/2006/relationships/image" Target="../media/image286.png"/><Relationship Id="rId783" Type="http://schemas.openxmlformats.org/officeDocument/2006/relationships/hyperlink" Target="https://raw.githubusercontent.com/ItsCryp7iC/Genshin-Image-Hosting/main/WeaponMaterials/ChapterofanAncientChord.png" TargetMode="External"/><Relationship Id="rId990" Type="http://schemas.openxmlformats.org/officeDocument/2006/relationships/image" Target="../media/image493.png"/><Relationship Id="rId229" Type="http://schemas.openxmlformats.org/officeDocument/2006/relationships/hyperlink" Target="https://raw.githubusercontent.com/ItsCryp7iC/Genshin-Image-Hosting/main/Gems/VayudaTurquoiseGemstone.png" TargetMode="External"/><Relationship Id="rId436" Type="http://schemas.openxmlformats.org/officeDocument/2006/relationships/image" Target="../media/image218.png"/><Relationship Id="rId643" Type="http://schemas.openxmlformats.org/officeDocument/2006/relationships/hyperlink" Target="https://raw.githubusercontent.com/ItsCryp7iC/Genshin-Image-Hosting/main/TalentBooks/TeachingsofIngenuity.png" TargetMode="External"/><Relationship Id="rId1066" Type="http://schemas.openxmlformats.org/officeDocument/2006/relationships/image" Target="../media/image531.png"/><Relationship Id="rId850" Type="http://schemas.openxmlformats.org/officeDocument/2006/relationships/image" Target="../media/image423.png"/><Relationship Id="rId948" Type="http://schemas.openxmlformats.org/officeDocument/2006/relationships/image" Target="../media/image472.png"/><Relationship Id="rId77" Type="http://schemas.openxmlformats.org/officeDocument/2006/relationships/hyperlink" Target="https://raw.githubusercontent.com/ItsCryp7iC/Genshin-Image-Hosting/main/Gems/BrilliantDiamondChunk.png" TargetMode="External"/><Relationship Id="rId282" Type="http://schemas.openxmlformats.org/officeDocument/2006/relationships/image" Target="../media/image141.png"/><Relationship Id="rId503" Type="http://schemas.openxmlformats.org/officeDocument/2006/relationships/hyperlink" Target="https://raw.githubusercontent.com/ItsCryp7iC/Genshin-Image-Hosting/main/WeeklyBoss/DakasBell.png" TargetMode="External"/><Relationship Id="rId587" Type="http://schemas.openxmlformats.org/officeDocument/2006/relationships/hyperlink" Target="https://raw.githubusercontent.com/ItsCryp7iC/Genshin-Image-Hosting/main/TalentBooks/PhilosophiesofAdmonition.png" TargetMode="External"/><Relationship Id="rId710" Type="http://schemas.openxmlformats.org/officeDocument/2006/relationships/image" Target="../media/image353.png"/><Relationship Id="rId808" Type="http://schemas.openxmlformats.org/officeDocument/2006/relationships/image" Target="../media/image402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447" Type="http://schemas.openxmlformats.org/officeDocument/2006/relationships/hyperlink" Target="https://raw.githubusercontent.com/ItsCryp7iC/Genshin-Image-Hosting/main/TalentBooks/PhilosophiesofPraxis.png" TargetMode="External"/><Relationship Id="rId794" Type="http://schemas.openxmlformats.org/officeDocument/2006/relationships/image" Target="../media/image395.png"/><Relationship Id="rId1077" Type="http://schemas.openxmlformats.org/officeDocument/2006/relationships/hyperlink" Target="https://raw.githubusercontent.com/ItsCryp7iC/Genshin-Image-Hosting/main/Weapons/TheUnforged.png" TargetMode="External"/><Relationship Id="rId654" Type="http://schemas.openxmlformats.org/officeDocument/2006/relationships/image" Target="../media/image325.png"/><Relationship Id="rId861" Type="http://schemas.openxmlformats.org/officeDocument/2006/relationships/hyperlink" Target="https://raw.githubusercontent.com/ItsCryp7iC/Genshin-Image-Hosting/main/Characters/Ningguang.png" TargetMode="External"/><Relationship Id="rId959" Type="http://schemas.openxmlformats.org/officeDocument/2006/relationships/hyperlink" Target="https://raw.githubusercontent.com/ItsCryp7iC/Genshin-Image-Hosting/main/Weapons/PolarStar.png" TargetMode="External"/><Relationship Id="rId293" Type="http://schemas.openxmlformats.org/officeDocument/2006/relationships/hyperlink" Target="https://raw.githubusercontent.com/ItsCryp7iC/Genshin-Image-Hosting/main/Weapons/BalladoftheBoundlessBlue.png" TargetMode="External"/><Relationship Id="rId307" Type="http://schemas.openxmlformats.org/officeDocument/2006/relationships/hyperlink" Target="https://raw.githubusercontent.com/ItsCryp7iC/Genshin-Image-Hosting/main/WeeklyBoss/DragonLordsCrown.png" TargetMode="External"/><Relationship Id="rId514" Type="http://schemas.openxmlformats.org/officeDocument/2006/relationships/hyperlink" Target="https://raw.githubusercontent.com/ItsCryp7iC/Genshin-Image-Hosting/main/WeeklyBoss/WorldspanFern.png" TargetMode="External"/><Relationship Id="rId721" Type="http://schemas.openxmlformats.org/officeDocument/2006/relationships/hyperlink" Target="https://raw.githubusercontent.com/ItsCryp7iC/Genshin-Image-Hosting/main/Characters/Beidou.png" TargetMode="External"/><Relationship Id="rId88" Type="http://schemas.openxmlformats.org/officeDocument/2006/relationships/image" Target="../media/image44.png"/><Relationship Id="rId153" Type="http://schemas.openxmlformats.org/officeDocument/2006/relationships/hyperlink" Target="https://raw.githubusercontent.com/ItsCryp7iC/Genshin-Image-Hosting/main/Weapons/AmenomaKageuchi.png" TargetMode="External"/><Relationship Id="rId360" Type="http://schemas.openxmlformats.org/officeDocument/2006/relationships/image" Target="../media/image180.png"/><Relationship Id="rId598" Type="http://schemas.openxmlformats.org/officeDocument/2006/relationships/image" Target="../media/image297.png"/><Relationship Id="rId819" Type="http://schemas.openxmlformats.org/officeDocument/2006/relationships/hyperlink" Target="https://raw.githubusercontent.com/ItsCryp7iC/Genshin-Image-Hosting/main/WeaponMaterials/EssenceofPureSacredDewdrop.png" TargetMode="External"/><Relationship Id="rId1004" Type="http://schemas.openxmlformats.org/officeDocument/2006/relationships/image" Target="../media/image500.png"/><Relationship Id="rId220" Type="http://schemas.openxmlformats.org/officeDocument/2006/relationships/image" Target="../media/image110.png"/><Relationship Id="rId458" Type="http://schemas.openxmlformats.org/officeDocument/2006/relationships/image" Target="../media/image229.png"/><Relationship Id="rId665" Type="http://schemas.openxmlformats.org/officeDocument/2006/relationships/hyperlink" Target="https://raw.githubusercontent.com/ItsCryp7iC/Genshin-Image-Hosting/main/TalentBooks/GuidetoPraxis.png" TargetMode="External"/><Relationship Id="rId872" Type="http://schemas.openxmlformats.org/officeDocument/2006/relationships/image" Target="../media/image434.png"/><Relationship Id="rId1088" Type="http://schemas.openxmlformats.org/officeDocument/2006/relationships/image" Target="../media/image542.png"/><Relationship Id="rId15" Type="http://schemas.openxmlformats.org/officeDocument/2006/relationships/hyperlink" Target="https://raw.githubusercontent.com/ItsCryp7iC/Genshin-Image-Hosting/main/MonsterDrops/3Star/ForbiddenCurseScroll.png" TargetMode="External"/><Relationship Id="rId318" Type="http://schemas.openxmlformats.org/officeDocument/2006/relationships/image" Target="../media/image159.png"/><Relationship Id="rId525" Type="http://schemas.openxmlformats.org/officeDocument/2006/relationships/hyperlink" Target="https://raw.githubusercontent.com/ItsCryp7iC/Genshin-Image-Hosting/main/TalentBooks/GuidetoElegance.png" TargetMode="External"/><Relationship Id="rId732" Type="http://schemas.openxmlformats.org/officeDocument/2006/relationships/image" Target="../media/image364.png"/><Relationship Id="rId99" Type="http://schemas.openxmlformats.org/officeDocument/2006/relationships/hyperlink" Target="https://raw.githubusercontent.com/ItsCryp7iC/Genshin-Image-Hosting/main/LocalSpecialties/WindwheelAster.png" TargetMode="External"/><Relationship Id="rId164" Type="http://schemas.openxmlformats.org/officeDocument/2006/relationships/image" Target="../media/image82.png"/><Relationship Id="rId371" Type="http://schemas.openxmlformats.org/officeDocument/2006/relationships/hyperlink" Target="https://raw.githubusercontent.com/ItsCryp7iC/Genshin-Image-Hosting/main/LocalSpecialties/AmakumoFruit.png" TargetMode="External"/><Relationship Id="rId1015" Type="http://schemas.openxmlformats.org/officeDocument/2006/relationships/hyperlink" Target="https://raw.githubusercontent.com/ItsCryp7iC/Genshin-Image-Hosting/main/Weapons/SapwoodBlade.png" TargetMode="External"/><Relationship Id="rId469" Type="http://schemas.openxmlformats.org/officeDocument/2006/relationships/hyperlink" Target="https://raw.githubusercontent.com/ItsCryp7iC/Genshin-Image-Hosting/main/LocalSpecialties/Onikabuto.png" TargetMode="External"/><Relationship Id="rId676" Type="http://schemas.openxmlformats.org/officeDocument/2006/relationships/image" Target="../media/image336.png"/><Relationship Id="rId883" Type="http://schemas.openxmlformats.org/officeDocument/2006/relationships/hyperlink" Target="https://raw.githubusercontent.com/ItsCryp7iC/Genshin-Image-Hosting/main/Weapons/KingsSquire.png" TargetMode="External"/><Relationship Id="rId1099" Type="http://schemas.openxmlformats.org/officeDocument/2006/relationships/hyperlink" Target="https://raw.githubusercontent.com/ItsCryp7iC/Genshin-Image-Hosting/main/Weapons/UltimateOverlordsMegaMagicSword.png" TargetMode="External"/><Relationship Id="rId26" Type="http://schemas.openxmlformats.org/officeDocument/2006/relationships/image" Target="../media/image13.png"/><Relationship Id="rId231" Type="http://schemas.openxmlformats.org/officeDocument/2006/relationships/hyperlink" Target="https://raw.githubusercontent.com/ItsCryp7iC/Genshin-Image-Hosting/main/WorldBoss/JuvenileJade.png" TargetMode="External"/><Relationship Id="rId329" Type="http://schemas.openxmlformats.org/officeDocument/2006/relationships/hyperlink" Target="https://raw.githubusercontent.com/ItsCryp7iC/Genshin-Image-Hosting/main/WeeklyBoss/MudraoftheMaleficGeneral.png" TargetMode="External"/><Relationship Id="rId536" Type="http://schemas.openxmlformats.org/officeDocument/2006/relationships/image" Target="../media/image266.png"/><Relationship Id="rId175" Type="http://schemas.openxmlformats.org/officeDocument/2006/relationships/hyperlink" Target="https://raw.githubusercontent.com/ItsCryp7iC/Genshin-Image-Hosting/main/MonsterDrops/3Star/LieutenantsInsignia.png" TargetMode="External"/><Relationship Id="rId743" Type="http://schemas.openxmlformats.org/officeDocument/2006/relationships/hyperlink" Target="https://raw.githubusercontent.com/ItsCryp7iC/Genshin-Image-Hosting/main/Weapons/FavoniusLance.png" TargetMode="External"/><Relationship Id="rId950" Type="http://schemas.openxmlformats.org/officeDocument/2006/relationships/image" Target="../media/image473.png"/><Relationship Id="rId1026" Type="http://schemas.openxmlformats.org/officeDocument/2006/relationships/image" Target="../media/image511.png"/><Relationship Id="rId382" Type="http://schemas.openxmlformats.org/officeDocument/2006/relationships/image" Target="../media/image191.png"/><Relationship Id="rId603" Type="http://schemas.openxmlformats.org/officeDocument/2006/relationships/hyperlink" Target="https://raw.githubusercontent.com/ItsCryp7iC/Genshin-Image-Hosting/main/WeaponMaterials/NarukamisWisdom.png" TargetMode="External"/><Relationship Id="rId687" Type="http://schemas.openxmlformats.org/officeDocument/2006/relationships/hyperlink" Target="https://raw.githubusercontent.com/ItsCryp7iC/Genshin-Image-Hosting/main/Weapons/EndoftheLine.png" TargetMode="External"/><Relationship Id="rId810" Type="http://schemas.openxmlformats.org/officeDocument/2006/relationships/image" Target="../media/image403.png"/><Relationship Id="rId908" Type="http://schemas.openxmlformats.org/officeDocument/2006/relationships/image" Target="../media/image452.png"/><Relationship Id="rId242" Type="http://schemas.openxmlformats.org/officeDocument/2006/relationships/image" Target="../media/image121.png"/><Relationship Id="rId894" Type="http://schemas.openxmlformats.org/officeDocument/2006/relationships/image" Target="../media/image445.png"/><Relationship Id="rId37" Type="http://schemas.openxmlformats.org/officeDocument/2006/relationships/hyperlink" Target="https://raw.githubusercontent.com/ItsCryp7iC/Genshin-Image-Hosting/main/Misc/Mora.png" TargetMode="External"/><Relationship Id="rId102" Type="http://schemas.openxmlformats.org/officeDocument/2006/relationships/image" Target="../media/image51.png"/><Relationship Id="rId547" Type="http://schemas.openxmlformats.org/officeDocument/2006/relationships/hyperlink" Target="https://raw.githubusercontent.com/ItsCryp7iC/Genshin-Image-Hosting/main/WorldBoss/ArtificedSpareClockworkComponentCoppelius.png" TargetMode="External"/><Relationship Id="rId754" Type="http://schemas.openxmlformats.org/officeDocument/2006/relationships/image" Target="../media/image375.png"/><Relationship Id="rId961" Type="http://schemas.openxmlformats.org/officeDocument/2006/relationships/hyperlink" Target="https://raw.githubusercontent.com/ItsCryp7iC/Genshin-Image-Hosting/main/Weapons/PortablePowerSaw.png" TargetMode="External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93" Type="http://schemas.openxmlformats.org/officeDocument/2006/relationships/hyperlink" Target="https://raw.githubusercontent.com/ItsCryp7iC/Genshin-Image-Hosting/main/WeeklyBoss/TearsoftheCalamitousGod.png" TargetMode="External"/><Relationship Id="rId407" Type="http://schemas.openxmlformats.org/officeDocument/2006/relationships/hyperlink" Target="https://raw.githubusercontent.com/ItsCryp7iC/Genshin-Image-Hosting/main/Weapons/BlackcliffPole.png" TargetMode="External"/><Relationship Id="rId614" Type="http://schemas.openxmlformats.org/officeDocument/2006/relationships/image" Target="../media/image305.png"/><Relationship Id="rId821" Type="http://schemas.openxmlformats.org/officeDocument/2006/relationships/hyperlink" Target="https://raw.githubusercontent.com/ItsCryp7iC/Genshin-Image-Hosting/main/Characters/Baizhu.png" TargetMode="External"/><Relationship Id="rId1037" Type="http://schemas.openxmlformats.org/officeDocument/2006/relationships/hyperlink" Target="https://raw.githubusercontent.com/ItsCryp7iC/Genshin-Image-Hosting/main/Weapons/Slingshot.png" TargetMode="External"/><Relationship Id="rId253" Type="http://schemas.openxmlformats.org/officeDocument/2006/relationships/hyperlink" Target="https://raw.githubusercontent.com/ItsCryp7iC/Genshin-Image-Hosting/main/WeeklyBoss/GildedScale.png" TargetMode="External"/><Relationship Id="rId460" Type="http://schemas.openxmlformats.org/officeDocument/2006/relationships/image" Target="../media/image230.png"/><Relationship Id="rId698" Type="http://schemas.openxmlformats.org/officeDocument/2006/relationships/image" Target="../media/image347.png"/><Relationship Id="rId919" Type="http://schemas.openxmlformats.org/officeDocument/2006/relationships/hyperlink" Target="https://raw.githubusercontent.com/ItsCryp7iC/Genshin-Image-Hosting/main/Weapons/MailedFlower.png" TargetMode="External"/><Relationship Id="rId1090" Type="http://schemas.openxmlformats.org/officeDocument/2006/relationships/image" Target="../media/image543.png"/><Relationship Id="rId1104" Type="http://schemas.openxmlformats.org/officeDocument/2006/relationships/image" Target="../media/image550.png"/><Relationship Id="rId48" Type="http://schemas.openxmlformats.org/officeDocument/2006/relationships/image" Target="../media/image24.png"/><Relationship Id="rId113" Type="http://schemas.openxmlformats.org/officeDocument/2006/relationships/hyperlink" Target="https://raw.githubusercontent.com/ItsCryp7iC/Genshin-Image-Hosting/main/Gems/BrilliantDiamondFragment.png" TargetMode="External"/><Relationship Id="rId320" Type="http://schemas.openxmlformats.org/officeDocument/2006/relationships/image" Target="../media/image160.png"/><Relationship Id="rId558" Type="http://schemas.openxmlformats.org/officeDocument/2006/relationships/image" Target="../media/image277.png"/><Relationship Id="rId765" Type="http://schemas.openxmlformats.org/officeDocument/2006/relationships/hyperlink" Target="https://raw.githubusercontent.com/ItsCryp7iC/Genshin-Image-Hosting/main/WeaponMaterials/DreamofScorchingMight.png" TargetMode="External"/><Relationship Id="rId972" Type="http://schemas.openxmlformats.org/officeDocument/2006/relationships/image" Target="../media/image484.png"/><Relationship Id="rId197" Type="http://schemas.openxmlformats.org/officeDocument/2006/relationships/hyperlink" Target="https://raw.githubusercontent.com/ItsCryp7iC/Genshin-Image-Hosting/main/WorldBoss/WaterThatFailedToTranscend.png" TargetMode="External"/><Relationship Id="rId418" Type="http://schemas.openxmlformats.org/officeDocument/2006/relationships/image" Target="../media/image209.png"/><Relationship Id="rId625" Type="http://schemas.openxmlformats.org/officeDocument/2006/relationships/hyperlink" Target="https://raw.githubusercontent.com/ItsCryp7iC/Genshin-Image-Hosting/main/Gems/PrithivaTopazFragment.png" TargetMode="External"/><Relationship Id="rId832" Type="http://schemas.openxmlformats.org/officeDocument/2006/relationships/image" Target="../media/image414.png"/><Relationship Id="rId1048" Type="http://schemas.openxmlformats.org/officeDocument/2006/relationships/image" Target="../media/image522.png"/><Relationship Id="rId264" Type="http://schemas.openxmlformats.org/officeDocument/2006/relationships/image" Target="../media/image132.png"/><Relationship Id="rId471" Type="http://schemas.openxmlformats.org/officeDocument/2006/relationships/hyperlink" Target="https://raw.githubusercontent.com/ItsCryp7iC/Genshin-Image-Hosting/main/Gems/VajradaAmethystChunk.png" TargetMode="External"/><Relationship Id="rId1115" Type="http://schemas.openxmlformats.org/officeDocument/2006/relationships/hyperlink" Target="https://raw.githubusercontent.com/ItsCryp7iC/Genshin-Image-Hosting/main/Weapons/WhiteTassel.png" TargetMode="External"/><Relationship Id="rId59" Type="http://schemas.openxmlformats.org/officeDocument/2006/relationships/hyperlink" Target="https://raw.githubusercontent.com/ItsCryp7iC/Genshin-Image-Hosting/main/LocalSpecialties/SandGreasePupa.png" TargetMode="External"/><Relationship Id="rId124" Type="http://schemas.openxmlformats.org/officeDocument/2006/relationships/image" Target="../media/image62.png"/><Relationship Id="rId569" Type="http://schemas.openxmlformats.org/officeDocument/2006/relationships/hyperlink" Target="https://raw.githubusercontent.com/ItsCryp7iC/Genshin-Image-Hosting/main/Characters/Collei.png" TargetMode="External"/><Relationship Id="rId776" Type="http://schemas.openxmlformats.org/officeDocument/2006/relationships/image" Target="../media/image386.png"/><Relationship Id="rId983" Type="http://schemas.openxmlformats.org/officeDocument/2006/relationships/hyperlink" Target="https://raw.githubusercontent.com/ItsCryp7iC/Genshin-Image-Hosting/main/Weapons/RangeGauge.png" TargetMode="External"/><Relationship Id="rId331" Type="http://schemas.openxmlformats.org/officeDocument/2006/relationships/hyperlink" Target="https://raw.githubusercontent.com/ItsCryp7iC/Genshin-Image-Hosting/main/WorldBoss/SmolderingPearl.png" TargetMode="External"/><Relationship Id="rId429" Type="http://schemas.openxmlformats.org/officeDocument/2006/relationships/hyperlink" Target="https://raw.githubusercontent.com/ItsCryp7iC/Genshin-Image-Hosting/main/WeaponMaterials/RelicfromGuyun.png" TargetMode="External"/><Relationship Id="rId636" Type="http://schemas.openxmlformats.org/officeDocument/2006/relationships/image" Target="../media/image316.png"/><Relationship Id="rId1059" Type="http://schemas.openxmlformats.org/officeDocument/2006/relationships/hyperlink" Target="https://raw.githubusercontent.com/ItsCryp7iC/Genshin-Image-Hosting/main/Weapons/TalkingStick.png" TargetMode="External"/><Relationship Id="rId843" Type="http://schemas.openxmlformats.org/officeDocument/2006/relationships/hyperlink" Target="https://raw.githubusercontent.com/ItsCryp7iC/Genshin-Image-Hosting/main/WeaponMaterials/GoldenGobletofthePristineSea.png" TargetMode="External"/><Relationship Id="rId1126" Type="http://schemas.openxmlformats.org/officeDocument/2006/relationships/image" Target="../media/image561.png"/><Relationship Id="rId275" Type="http://schemas.openxmlformats.org/officeDocument/2006/relationships/hyperlink" Target="https://raw.githubusercontent.com/ItsCryp7iC/Genshin-Image-Hosting/main/Weapons/AThousandFloatingDreams.png" TargetMode="External"/><Relationship Id="rId482" Type="http://schemas.openxmlformats.org/officeDocument/2006/relationships/image" Target="../media/image241.png"/><Relationship Id="rId703" Type="http://schemas.openxmlformats.org/officeDocument/2006/relationships/hyperlink" Target="https://raw.githubusercontent.com/ItsCryp7iC/Genshin-Image-Hosting/main/Weapons/EverlastingMoonglow.png" TargetMode="External"/><Relationship Id="rId910" Type="http://schemas.openxmlformats.org/officeDocument/2006/relationships/image" Target="../media/image453.png"/><Relationship Id="rId135" Type="http://schemas.openxmlformats.org/officeDocument/2006/relationships/hyperlink" Target="https://raw.githubusercontent.com/ItsCryp7iC/Genshin-Image-Hosting/main/MonsterDrops/3Star/SpectralNucleus.png" TargetMode="External"/><Relationship Id="rId342" Type="http://schemas.openxmlformats.org/officeDocument/2006/relationships/image" Target="../media/image171.png"/><Relationship Id="rId787" Type="http://schemas.openxmlformats.org/officeDocument/2006/relationships/hyperlink" Target="https://raw.githubusercontent.com/ItsCryp7iC/Genshin-Image-Hosting/main/Weapons/FleuveCendreFerryman.png" TargetMode="External"/><Relationship Id="rId994" Type="http://schemas.openxmlformats.org/officeDocument/2006/relationships/image" Target="../media/image495.png"/><Relationship Id="rId202" Type="http://schemas.openxmlformats.org/officeDocument/2006/relationships/image" Target="../media/image101.png"/><Relationship Id="rId647" Type="http://schemas.openxmlformats.org/officeDocument/2006/relationships/hyperlink" Target="https://raw.githubusercontent.com/ItsCryp7iC/Genshin-Image-Hosting/main/Weapons/DragonsBane.png" TargetMode="External"/><Relationship Id="rId854" Type="http://schemas.openxmlformats.org/officeDocument/2006/relationships/image" Target="../media/image425.png"/><Relationship Id="rId286" Type="http://schemas.openxmlformats.org/officeDocument/2006/relationships/image" Target="../media/image143.png"/><Relationship Id="rId493" Type="http://schemas.openxmlformats.org/officeDocument/2006/relationships/image" Target="../media/image246.png"/><Relationship Id="rId507" Type="http://schemas.openxmlformats.org/officeDocument/2006/relationships/hyperlink" Target="https://raw.githubusercontent.com/ItsCryp7iC/Genshin-Image-Hosting/main/LocalSpecialties/Dendrobium.png" TargetMode="External"/><Relationship Id="rId714" Type="http://schemas.openxmlformats.org/officeDocument/2006/relationships/image" Target="../media/image355.png"/><Relationship Id="rId921" Type="http://schemas.openxmlformats.org/officeDocument/2006/relationships/hyperlink" Target="https://raw.githubusercontent.com/ItsCryp7iC/Genshin-Image-Hosting/main/Characters/Rosaria.png" TargetMode="External"/><Relationship Id="rId50" Type="http://schemas.openxmlformats.org/officeDocument/2006/relationships/image" Target="../media/image25.png"/><Relationship Id="rId146" Type="http://schemas.openxmlformats.org/officeDocument/2006/relationships/image" Target="../media/image73.png"/><Relationship Id="rId353" Type="http://schemas.openxmlformats.org/officeDocument/2006/relationships/hyperlink" Target="https://raw.githubusercontent.com/ItsCryp7iC/Genshin-Image-Hosting/main/MonsterDrops/1Star/TransoceanicPearl.png" TargetMode="External"/><Relationship Id="rId560" Type="http://schemas.openxmlformats.org/officeDocument/2006/relationships/image" Target="../media/image278.png"/><Relationship Id="rId798" Type="http://schemas.openxmlformats.org/officeDocument/2006/relationships/image" Target="../media/image397.png"/><Relationship Id="rId213" Type="http://schemas.openxmlformats.org/officeDocument/2006/relationships/hyperlink" Target="https://raw.githubusercontent.com/ItsCryp7iC/Genshin-Image-Hosting/main/TalentBooks/TeachingsofResistance.png" TargetMode="External"/><Relationship Id="rId420" Type="http://schemas.openxmlformats.org/officeDocument/2006/relationships/image" Target="../media/image210.png"/><Relationship Id="rId658" Type="http://schemas.openxmlformats.org/officeDocument/2006/relationships/image" Target="../media/image327.png"/><Relationship Id="rId865" Type="http://schemas.openxmlformats.org/officeDocument/2006/relationships/hyperlink" Target="https://raw.githubusercontent.com/ItsCryp7iC/Genshin-Image-Hosting/main/Characters/SangonomiyaKokomi.png" TargetMode="External"/><Relationship Id="rId1050" Type="http://schemas.openxmlformats.org/officeDocument/2006/relationships/image" Target="../media/image523.png"/><Relationship Id="rId297" Type="http://schemas.openxmlformats.org/officeDocument/2006/relationships/hyperlink" Target="https://raw.githubusercontent.com/ItsCryp7iC/Genshin-Image-Hosting/main/Characters/KamisatoAyaka.png" TargetMode="External"/><Relationship Id="rId518" Type="http://schemas.openxmlformats.org/officeDocument/2006/relationships/hyperlink" Target="https://raw.githubusercontent.com/ItsCryp7iC/Genshin-Image-Hosting/main/Weapons/Cloudforged.png" TargetMode="External"/><Relationship Id="rId725" Type="http://schemas.openxmlformats.org/officeDocument/2006/relationships/hyperlink" Target="https://raw.githubusercontent.com/ItsCryp7iC/Genshin-Image-Hosting/main/LocalSpecialties/SubdetectionUnit.png" TargetMode="External"/><Relationship Id="rId932" Type="http://schemas.openxmlformats.org/officeDocument/2006/relationships/image" Target="../media/image464.png"/><Relationship Id="rId157" Type="http://schemas.openxmlformats.org/officeDocument/2006/relationships/hyperlink" Target="https://raw.githubusercontent.com/ItsCryp7iC/Genshin-Image-Hosting/main/Characters/Clorinde.png" TargetMode="External"/><Relationship Id="rId364" Type="http://schemas.openxmlformats.org/officeDocument/2006/relationships/image" Target="../media/image182.png"/><Relationship Id="rId1008" Type="http://schemas.openxmlformats.org/officeDocument/2006/relationships/image" Target="../media/image502.png"/><Relationship Id="rId61" Type="http://schemas.openxmlformats.org/officeDocument/2006/relationships/hyperlink" Target="https://raw.githubusercontent.com/ItsCryp7iC/Genshin-Image-Hosting/main/Gems/NagadusEmeraldGemstone.png" TargetMode="External"/><Relationship Id="rId571" Type="http://schemas.openxmlformats.org/officeDocument/2006/relationships/hyperlink" Target="https://raw.githubusercontent.com/ItsCryp7iC/Genshin-Image-Hosting/main/LocalSpecialties/RukkhashavaMushrooms.png" TargetMode="External"/><Relationship Id="rId669" Type="http://schemas.openxmlformats.org/officeDocument/2006/relationships/hyperlink" Target="https://raw.githubusercontent.com/ItsCryp7iC/Genshin-Image-Hosting/main/Weapons/ElegyfortheEnd.png" TargetMode="External"/><Relationship Id="rId876" Type="http://schemas.openxmlformats.org/officeDocument/2006/relationships/image" Target="../media/image436.png"/><Relationship Id="rId19" Type="http://schemas.openxmlformats.org/officeDocument/2006/relationships/hyperlink" Target="https://raw.githubusercontent.com/ItsCryp7iC/Genshin-Image-Hosting/main/Gems/PrithivaTopazGemstone.png" TargetMode="External"/><Relationship Id="rId224" Type="http://schemas.openxmlformats.org/officeDocument/2006/relationships/image" Target="../media/image112.png"/><Relationship Id="rId431" Type="http://schemas.openxmlformats.org/officeDocument/2006/relationships/hyperlink" Target="https://raw.githubusercontent.com/ItsCryp7iC/Genshin-Image-Hosting/main/Characters/Lynette.png" TargetMode="External"/><Relationship Id="rId529" Type="http://schemas.openxmlformats.org/officeDocument/2006/relationships/hyperlink" Target="https://raw.githubusercontent.com/ItsCryp7iC/Genshin-Image-Hosting/main/Weapons/CompoundBow.png" TargetMode="External"/><Relationship Id="rId736" Type="http://schemas.openxmlformats.org/officeDocument/2006/relationships/image" Target="../media/image366.png"/><Relationship Id="rId1061" Type="http://schemas.openxmlformats.org/officeDocument/2006/relationships/hyperlink" Target="https://raw.githubusercontent.com/ItsCryp7iC/Genshin-Image-Hosting/main/Weapons/TheAlleyFlash.png" TargetMode="External"/><Relationship Id="rId168" Type="http://schemas.openxmlformats.org/officeDocument/2006/relationships/image" Target="../media/image84.png"/><Relationship Id="rId943" Type="http://schemas.openxmlformats.org/officeDocument/2006/relationships/hyperlink" Target="https://raw.githubusercontent.com/ItsCryp7iC/Genshin-Image-Hosting/main/Weapons/MistsplitterReforged.png" TargetMode="External"/><Relationship Id="rId1019" Type="http://schemas.openxmlformats.org/officeDocument/2006/relationships/hyperlink" Target="https://raw.githubusercontent.com/ItsCryp7iC/Genshin-Image-Hosting/main/Weapons/SerpentSpine.png" TargetMode="External"/><Relationship Id="rId72" Type="http://schemas.openxmlformats.org/officeDocument/2006/relationships/image" Target="../media/image36.png"/><Relationship Id="rId375" Type="http://schemas.openxmlformats.org/officeDocument/2006/relationships/hyperlink" Target="https://raw.githubusercontent.com/ItsCryp7iC/Genshin-Image-Hosting/main/WeeklyBoss/MoltenMoment.png" TargetMode="External"/><Relationship Id="rId582" Type="http://schemas.openxmlformats.org/officeDocument/2006/relationships/image" Target="../media/image289.png"/><Relationship Id="rId803" Type="http://schemas.openxmlformats.org/officeDocument/2006/relationships/hyperlink" Target="https://raw.githubusercontent.com/ItsCryp7iC/Genshin-Image-Hosting/main/Characters/Sayu.png" TargetMode="External"/><Relationship Id="rId3" Type="http://schemas.openxmlformats.org/officeDocument/2006/relationships/hyperlink" Target="https://raw.githubusercontent.com/ItsCryp7iC/Genshin-Image-Hosting/main/Characters/Albedo.png" TargetMode="External"/><Relationship Id="rId235" Type="http://schemas.openxmlformats.org/officeDocument/2006/relationships/hyperlink" Target="https://raw.githubusercontent.com/ItsCryp7iC/Genshin-Image-Hosting/main/MonsterDrops/1Star/WhopperflowerNectar.png" TargetMode="External"/><Relationship Id="rId442" Type="http://schemas.openxmlformats.org/officeDocument/2006/relationships/image" Target="../media/image221.png"/><Relationship Id="rId887" Type="http://schemas.openxmlformats.org/officeDocument/2006/relationships/hyperlink" Target="https://raw.githubusercontent.com/ItsCryp7iC/Genshin-Image-Hosting/main/Weapons/KitainCrossSpear.png" TargetMode="External"/><Relationship Id="rId1072" Type="http://schemas.openxmlformats.org/officeDocument/2006/relationships/image" Target="../media/image534.png"/><Relationship Id="rId302" Type="http://schemas.openxmlformats.org/officeDocument/2006/relationships/image" Target="../media/image151.png"/><Relationship Id="rId747" Type="http://schemas.openxmlformats.org/officeDocument/2006/relationships/hyperlink" Target="https://raw.githubusercontent.com/ItsCryp7iC/Genshin-Image-Hosting/main/Characters/Diluc.png" TargetMode="External"/><Relationship Id="rId954" Type="http://schemas.openxmlformats.org/officeDocument/2006/relationships/image" Target="../media/image475.png"/><Relationship Id="rId83" Type="http://schemas.openxmlformats.org/officeDocument/2006/relationships/hyperlink" Target="https://raw.githubusercontent.com/ItsCryp7iC/Genshin-Image-Hosting/main/Weapons/Akuoumaru.png" TargetMode="External"/><Relationship Id="rId179" Type="http://schemas.openxmlformats.org/officeDocument/2006/relationships/hyperlink" Target="https://raw.githubusercontent.com/ItsCryp7iC/Genshin-Image-Hosting/main/MonsterDrops/1Star/RecruitsInsignia.png" TargetMode="External"/><Relationship Id="rId386" Type="http://schemas.openxmlformats.org/officeDocument/2006/relationships/image" Target="../media/image193.png"/><Relationship Id="rId593" Type="http://schemas.openxmlformats.org/officeDocument/2006/relationships/hyperlink" Target="https://raw.githubusercontent.com/ItsCryp7iC/Genshin-Image-Hosting/main/WeaponMaterials/GoldenBranchofaDistantSea.png" TargetMode="External"/><Relationship Id="rId607" Type="http://schemas.openxmlformats.org/officeDocument/2006/relationships/hyperlink" Target="https://raw.githubusercontent.com/ItsCryp7iC/Genshin-Image-Hosting/main/WorldBoss/CloudseamScale.png" TargetMode="External"/><Relationship Id="rId814" Type="http://schemas.openxmlformats.org/officeDocument/2006/relationships/image" Target="../media/image405.png"/><Relationship Id="rId246" Type="http://schemas.openxmlformats.org/officeDocument/2006/relationships/image" Target="../media/image123.png"/><Relationship Id="rId453" Type="http://schemas.openxmlformats.org/officeDocument/2006/relationships/hyperlink" Target="https://raw.githubusercontent.com/ItsCryp7iC/Genshin-Image-Hosting/main/TalentBooks/GuidetoGold.png" TargetMode="External"/><Relationship Id="rId660" Type="http://schemas.openxmlformats.org/officeDocument/2006/relationships/image" Target="../media/image328.png"/><Relationship Id="rId898" Type="http://schemas.openxmlformats.org/officeDocument/2006/relationships/image" Target="../media/image447.png"/><Relationship Id="rId1083" Type="http://schemas.openxmlformats.org/officeDocument/2006/relationships/hyperlink" Target="https://raw.githubusercontent.com/ItsCryp7iC/Genshin-Image-Hosting/main/Weapons/ThrillingTalesofDragonSlayers.png" TargetMode="External"/><Relationship Id="rId106" Type="http://schemas.openxmlformats.org/officeDocument/2006/relationships/image" Target="../media/image53.png"/><Relationship Id="rId313" Type="http://schemas.openxmlformats.org/officeDocument/2006/relationships/hyperlink" Target="https://raw.githubusercontent.com/ItsCryp7iC/Genshin-Image-Hosting/main/MonsterDrops/1Star/FungalSpores.png" TargetMode="External"/><Relationship Id="rId758" Type="http://schemas.openxmlformats.org/officeDocument/2006/relationships/image" Target="../media/image377.png"/><Relationship Id="rId965" Type="http://schemas.openxmlformats.org/officeDocument/2006/relationships/hyperlink" Target="https://raw.githubusercontent.com/ItsCryp7iC/Genshin-Image-Hosting/main/Weapons/PrimordialJadeCutter.png" TargetMode="External"/><Relationship Id="rId10" Type="http://schemas.openxmlformats.org/officeDocument/2006/relationships/image" Target="../media/image5.png"/><Relationship Id="rId94" Type="http://schemas.openxmlformats.org/officeDocument/2006/relationships/image" Target="../media/image47.png"/><Relationship Id="rId397" Type="http://schemas.openxmlformats.org/officeDocument/2006/relationships/hyperlink" Target="https://raw.githubusercontent.com/ItsCryp7iC/Genshin-Image-Hosting/main/WorldBoss/RiftbornRegalia.png" TargetMode="External"/><Relationship Id="rId520" Type="http://schemas.openxmlformats.org/officeDocument/2006/relationships/hyperlink" Target="https://raw.githubusercontent.com/ItsCryp7iC/Genshin-Image-Hosting/main/WeaponMaterials/PieceofAerosiderite.png" TargetMode="External"/><Relationship Id="rId618" Type="http://schemas.openxmlformats.org/officeDocument/2006/relationships/image" Target="../media/image307.png"/><Relationship Id="rId825" Type="http://schemas.openxmlformats.org/officeDocument/2006/relationships/hyperlink" Target="https://raw.githubusercontent.com/ItsCryp7iC/Genshin-Image-Hosting/main/WeaponMaterials/BrokenGobletofthePristineSea.png" TargetMode="External"/><Relationship Id="rId257" Type="http://schemas.openxmlformats.org/officeDocument/2006/relationships/hyperlink" Target="https://raw.githubusercontent.com/ItsCryp7iC/Genshin-Image-Hosting/main/LocalSpecialties/SeaGanoderma.png" TargetMode="External"/><Relationship Id="rId464" Type="http://schemas.openxmlformats.org/officeDocument/2006/relationships/image" Target="../media/image232.png"/><Relationship Id="rId1010" Type="http://schemas.openxmlformats.org/officeDocument/2006/relationships/image" Target="../media/image503.png"/><Relationship Id="rId1094" Type="http://schemas.openxmlformats.org/officeDocument/2006/relationships/image" Target="../media/image545.png"/><Relationship Id="rId1108" Type="http://schemas.openxmlformats.org/officeDocument/2006/relationships/image" Target="../media/image552.png"/><Relationship Id="rId117" Type="http://schemas.openxmlformats.org/officeDocument/2006/relationships/hyperlink" Target="https://raw.githubusercontent.com/ItsCryp7iC/Genshin-Image-Hosting/main/Billets/polearm.png" TargetMode="External"/><Relationship Id="rId671" Type="http://schemas.openxmlformats.org/officeDocument/2006/relationships/hyperlink" Target="https://raw.githubusercontent.com/ItsCryp7iC/Genshin-Image-Hosting/main/WeaponMaterials/MaskoftheOneHorned.png" TargetMode="External"/><Relationship Id="rId769" Type="http://schemas.openxmlformats.org/officeDocument/2006/relationships/hyperlink" Target="https://raw.githubusercontent.com/ItsCryp7iC/Genshin-Image-Hosting/main/Weapons/FesteringDesire.png" TargetMode="External"/><Relationship Id="rId976" Type="http://schemas.openxmlformats.org/officeDocument/2006/relationships/image" Target="../media/image486.png"/><Relationship Id="rId324" Type="http://schemas.openxmlformats.org/officeDocument/2006/relationships/image" Target="../media/image162.png"/><Relationship Id="rId531" Type="http://schemas.openxmlformats.org/officeDocument/2006/relationships/hyperlink" Target="https://raw.githubusercontent.com/ItsCryp7iC/Genshin-Image-Hosting/main/WeaponMaterials/BitofAerosiderite.png" TargetMode="External"/><Relationship Id="rId629" Type="http://schemas.openxmlformats.org/officeDocument/2006/relationships/hyperlink" Target="https://raw.githubusercontent.com/ItsCryp7iC/Genshin-Image-Hosting/main/WeaponMaterials/NarukamisAffection.png" TargetMode="External"/><Relationship Id="rId836" Type="http://schemas.openxmlformats.org/officeDocument/2006/relationships/image" Target="../media/image416.png"/><Relationship Id="rId1021" Type="http://schemas.openxmlformats.org/officeDocument/2006/relationships/hyperlink" Target="https://raw.githubusercontent.com/ItsCryp7iC/Genshin-Image-Hosting/main/Weapons/SharpshootersOath.png" TargetMode="External"/><Relationship Id="rId1119" Type="http://schemas.openxmlformats.org/officeDocument/2006/relationships/hyperlink" Target="https://raw.githubusercontent.com/ItsCryp7iC/Genshin-Image-Hosting/main/Weapons/WineandSong.png" TargetMode="External"/><Relationship Id="rId903" Type="http://schemas.openxmlformats.org/officeDocument/2006/relationships/hyperlink" Target="https://raw.githubusercontent.com/ItsCryp7iC/Genshin-Image-Hosting/main/Weapons/LithicSpear.png" TargetMode="External"/><Relationship Id="rId32" Type="http://schemas.openxmlformats.org/officeDocument/2006/relationships/image" Target="../media/image16.png"/><Relationship Id="rId181" Type="http://schemas.openxmlformats.org/officeDocument/2006/relationships/hyperlink" Target="https://raw.githubusercontent.com/ItsCryp7iC/Genshin-Image-Hosting/main/TalentBooks/GuidetoResistance.png" TargetMode="External"/><Relationship Id="rId279" Type="http://schemas.openxmlformats.org/officeDocument/2006/relationships/hyperlink" Target="https://raw.githubusercontent.com/ItsCryp7iC/Genshin-Image-Hosting/main/Characters/Kaeya.png" TargetMode="External"/><Relationship Id="rId486" Type="http://schemas.openxmlformats.org/officeDocument/2006/relationships/image" Target="../media/image243.png"/><Relationship Id="rId693" Type="http://schemas.openxmlformats.org/officeDocument/2006/relationships/hyperlink" Target="https://raw.githubusercontent.com/ItsCryp7iC/Genshin-Image-Hosting/main/TalentBooks/GuidetoEquity.png" TargetMode="External"/><Relationship Id="rId139" Type="http://schemas.openxmlformats.org/officeDocument/2006/relationships/hyperlink" Target="https://raw.githubusercontent.com/ItsCryp7iC/Genshin-Image-Hosting/main/WeeklyBoss/TailofBoreas.png" TargetMode="External"/><Relationship Id="rId346" Type="http://schemas.openxmlformats.org/officeDocument/2006/relationships/image" Target="../media/image173.png"/><Relationship Id="rId553" Type="http://schemas.openxmlformats.org/officeDocument/2006/relationships/hyperlink" Target="https://raw.githubusercontent.com/ItsCryp7iC/Genshin-Image-Hosting/main/Characters/Amber.png" TargetMode="External"/><Relationship Id="rId760" Type="http://schemas.openxmlformats.org/officeDocument/2006/relationships/image" Target="../media/image378.png"/><Relationship Id="rId998" Type="http://schemas.openxmlformats.org/officeDocument/2006/relationships/image" Target="../media/image497.png"/><Relationship Id="rId206" Type="http://schemas.openxmlformats.org/officeDocument/2006/relationships/image" Target="../media/image103.png"/><Relationship Id="rId413" Type="http://schemas.openxmlformats.org/officeDocument/2006/relationships/hyperlink" Target="https://raw.githubusercontent.com/ItsCryp7iC/Genshin-Image-Hosting/main/WorldBoss/PerpetualCaliber.png" TargetMode="External"/><Relationship Id="rId858" Type="http://schemas.openxmlformats.org/officeDocument/2006/relationships/image" Target="../media/image427.png"/><Relationship Id="rId1043" Type="http://schemas.openxmlformats.org/officeDocument/2006/relationships/hyperlink" Target="https://raw.githubusercontent.com/ItsCryp7iC/Genshin-Image-Hosting/main/Weapons/SongofBrokenPines.png" TargetMode="External"/><Relationship Id="rId620" Type="http://schemas.openxmlformats.org/officeDocument/2006/relationships/image" Target="../media/image308.png"/><Relationship Id="rId718" Type="http://schemas.openxmlformats.org/officeDocument/2006/relationships/image" Target="../media/image357.png"/><Relationship Id="rId925" Type="http://schemas.openxmlformats.org/officeDocument/2006/relationships/hyperlink" Target="https://raw.githubusercontent.com/ItsCryp7iC/Genshin-Image-Hosting/main/Characters/Shenhe.png" TargetMode="External"/><Relationship Id="rId1110" Type="http://schemas.openxmlformats.org/officeDocument/2006/relationships/image" Target="../media/image553.png"/><Relationship Id="rId54" Type="http://schemas.openxmlformats.org/officeDocument/2006/relationships/image" Target="../media/image27.png"/><Relationship Id="rId270" Type="http://schemas.openxmlformats.org/officeDocument/2006/relationships/image" Target="../media/image135.png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575" Type="http://schemas.openxmlformats.org/officeDocument/2006/relationships/hyperlink" Target="https://raw.githubusercontent.com/ItsCryp7iC/Genshin-Image-Hosting/main/TalentBooks/TeachingsofLight.png" TargetMode="External"/><Relationship Id="rId782" Type="http://schemas.openxmlformats.org/officeDocument/2006/relationships/image" Target="../media/image389.png"/><Relationship Id="rId228" Type="http://schemas.openxmlformats.org/officeDocument/2006/relationships/image" Target="../media/image114.png"/><Relationship Id="rId435" Type="http://schemas.openxmlformats.org/officeDocument/2006/relationships/hyperlink" Target="https://raw.githubusercontent.com/ItsCryp7iC/Genshin-Image-Hosting/main/LocalSpecialties/LumidouceBell.png" TargetMode="External"/><Relationship Id="rId642" Type="http://schemas.openxmlformats.org/officeDocument/2006/relationships/image" Target="../media/image319.png"/><Relationship Id="rId1065" Type="http://schemas.openxmlformats.org/officeDocument/2006/relationships/hyperlink" Target="https://raw.githubusercontent.com/ItsCryp7iC/Genshin-Image-Hosting/main/Weapons/TheBlackSword.png" TargetMode="External"/><Relationship Id="rId502" Type="http://schemas.openxmlformats.org/officeDocument/2006/relationships/image" Target="../media/image250.png"/><Relationship Id="rId947" Type="http://schemas.openxmlformats.org/officeDocument/2006/relationships/hyperlink" Target="https://raw.githubusercontent.com/ItsCryp7iC/Genshin-Image-Hosting/main/Weapons/MitternachtsWaltz.png" TargetMode="External"/><Relationship Id="rId76" Type="http://schemas.openxmlformats.org/officeDocument/2006/relationships/image" Target="../media/image38.png"/><Relationship Id="rId807" Type="http://schemas.openxmlformats.org/officeDocument/2006/relationships/hyperlink" Target="https://raw.githubusercontent.com/ItsCryp7iC/Genshin-Image-Hosting/main/WeaponMaterials/SublimationofPureSacredDewdrop.png" TargetMode="External"/><Relationship Id="rId292" Type="http://schemas.openxmlformats.org/officeDocument/2006/relationships/image" Target="../media/image146.png"/><Relationship Id="rId597" Type="http://schemas.openxmlformats.org/officeDocument/2006/relationships/hyperlink" Target="https://raw.githubusercontent.com/ItsCryp7iC/Genshin-Image-Hosting/main/WeeklyBoss/SilkenFeather.png" TargetMode="External"/><Relationship Id="rId152" Type="http://schemas.openxmlformats.org/officeDocument/2006/relationships/image" Target="../media/image76.png"/><Relationship Id="rId457" Type="http://schemas.openxmlformats.org/officeDocument/2006/relationships/hyperlink" Target="https://raw.githubusercontent.com/ItsCryp7iC/Genshin-Image-Hosting/main/Weapons/BlackTassel.png" TargetMode="External"/><Relationship Id="rId1087" Type="http://schemas.openxmlformats.org/officeDocument/2006/relationships/hyperlink" Target="https://raw.githubusercontent.com/ItsCryp7iC/Genshin-Image-Hosting/main/Weapons/TidalShadow.png" TargetMode="External"/><Relationship Id="rId664" Type="http://schemas.openxmlformats.org/officeDocument/2006/relationships/image" Target="../media/image330.png"/><Relationship Id="rId871" Type="http://schemas.openxmlformats.org/officeDocument/2006/relationships/hyperlink" Target="https://raw.githubusercontent.com/ItsCryp7iC/Genshin-Image-Hosting/main/Weapons/KagurasVerity.png" TargetMode="External"/><Relationship Id="rId969" Type="http://schemas.openxmlformats.org/officeDocument/2006/relationships/hyperlink" Target="https://raw.githubusercontent.com/ItsCryp7iC/Genshin-Image-Hosting/main/Weapons/ProspectorsDrill.png" TargetMode="External"/><Relationship Id="rId317" Type="http://schemas.openxmlformats.org/officeDocument/2006/relationships/hyperlink" Target="https://raw.githubusercontent.com/ItsCryp7iC/Genshin-Image-Hosting/main/LocalSpecialties/NoctilucousJade.png" TargetMode="External"/><Relationship Id="rId524" Type="http://schemas.openxmlformats.org/officeDocument/2006/relationships/image" Target="../media/image260.png"/><Relationship Id="rId731" Type="http://schemas.openxmlformats.org/officeDocument/2006/relationships/hyperlink" Target="https://raw.githubusercontent.com/ItsCryp7iC/Genshin-Image-Hosting/main/Characters/Chongyun.png" TargetMode="External"/><Relationship Id="rId98" Type="http://schemas.openxmlformats.org/officeDocument/2006/relationships/image" Target="../media/image49.png"/><Relationship Id="rId829" Type="http://schemas.openxmlformats.org/officeDocument/2006/relationships/hyperlink" Target="https://raw.githubusercontent.com/ItsCryp7iC/Genshin-Image-Hosting/main/Weapons/Halberd.png" TargetMode="External"/><Relationship Id="rId1014" Type="http://schemas.openxmlformats.org/officeDocument/2006/relationships/image" Target="../media/image505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274"/>
  </webImageSrd>
  <webImageSrd>
    <address r:id="rId275"/>
    <blip r:id="rId276"/>
  </webImageSrd>
  <webImageSrd>
    <address r:id="rId277"/>
    <blip r:id="rId278"/>
  </webImageSrd>
  <webImageSrd>
    <address r:id="rId279"/>
    <blip r:id="rId280"/>
  </webImageSrd>
  <webImageSrd>
    <address r:id="rId281"/>
    <blip r:id="rId282"/>
  </webImageSrd>
  <webImageSrd>
    <address r:id="rId283"/>
    <blip r:id="rId284"/>
  </webImageSrd>
  <webImageSrd>
    <address r:id="rId285"/>
    <blip r:id="rId286"/>
  </webImageSrd>
  <webImageSrd>
    <address r:id="rId287"/>
    <blip r:id="rId288"/>
  </webImageSrd>
  <webImageSrd>
    <address r:id="rId289"/>
    <blip r:id="rId290"/>
  </webImageSrd>
  <webImageSrd>
    <address r:id="rId291"/>
    <blip r:id="rId292"/>
  </webImageSrd>
  <webImageSrd>
    <address r:id="rId293"/>
    <blip r:id="rId294"/>
  </webImageSrd>
  <webImageSrd>
    <address r:id="rId295"/>
    <blip r:id="rId296"/>
  </webImageSrd>
  <webImageSrd>
    <address r:id="rId297"/>
    <blip r:id="rId298"/>
  </webImageSrd>
  <webImageSrd>
    <address r:id="rId299"/>
    <blip r:id="rId300"/>
  </webImageSrd>
  <webImageSrd>
    <address r:id="rId301"/>
    <blip r:id="rId302"/>
  </webImageSrd>
  <webImageSrd>
    <address r:id="rId303"/>
    <blip r:id="rId304"/>
  </webImageSrd>
  <webImageSrd>
    <address r:id="rId305"/>
    <blip r:id="rId306"/>
  </webImageSrd>
  <webImageSrd>
    <address r:id="rId307"/>
    <blip r:id="rId308"/>
  </webImageSrd>
  <webImageSrd>
    <address r:id="rId309"/>
    <blip r:id="rId310"/>
  </webImageSrd>
  <webImageSrd>
    <address r:id="rId311"/>
    <blip r:id="rId312"/>
  </webImageSrd>
  <webImageSrd>
    <address r:id="rId313"/>
    <blip r:id="rId314"/>
  </webImageSrd>
  <webImageSrd>
    <address r:id="rId315"/>
    <blip r:id="rId316"/>
  </webImageSrd>
  <webImageSrd>
    <address r:id="rId317"/>
    <blip r:id="rId318"/>
  </webImageSrd>
  <webImageSrd>
    <address r:id="rId319"/>
    <blip r:id="rId320"/>
  </webImageSrd>
  <webImageSrd>
    <address r:id="rId321"/>
    <blip r:id="rId322"/>
  </webImageSrd>
  <webImageSrd>
    <address r:id="rId323"/>
    <blip r:id="rId324"/>
  </webImageSrd>
  <webImageSrd>
    <address r:id="rId325"/>
    <blip r:id="rId326"/>
  </webImageSrd>
  <webImageSrd>
    <address r:id="rId327"/>
    <blip r:id="rId328"/>
  </webImageSrd>
  <webImageSrd>
    <address r:id="rId329"/>
    <blip r:id="rId330"/>
  </webImageSrd>
  <webImageSrd>
    <address r:id="rId331"/>
    <blip r:id="rId332"/>
  </webImageSrd>
  <webImageSrd>
    <address r:id="rId333"/>
    <blip r:id="rId334"/>
  </webImageSrd>
  <webImageSrd>
    <address r:id="rId335"/>
    <blip r:id="rId336"/>
  </webImageSrd>
  <webImageSrd>
    <address r:id="rId337"/>
    <blip r:id="rId338"/>
  </webImageSrd>
  <webImageSrd>
    <address r:id="rId339"/>
    <blip r:id="rId340"/>
  </webImageSrd>
  <webImageSrd>
    <address r:id="rId341"/>
    <blip r:id="rId342"/>
  </webImageSrd>
  <webImageSrd>
    <address r:id="rId343"/>
    <blip r:id="rId344"/>
  </webImageSrd>
  <webImageSrd>
    <address r:id="rId345"/>
    <blip r:id="rId346"/>
  </webImageSrd>
  <webImageSrd>
    <address r:id="rId347"/>
    <blip r:id="rId348"/>
  </webImageSrd>
  <webImageSrd>
    <address r:id="rId349"/>
    <blip r:id="rId350"/>
  </webImageSrd>
  <webImageSrd>
    <address r:id="rId351"/>
    <blip r:id="rId352"/>
  </webImageSrd>
  <webImageSrd>
    <address r:id="rId353"/>
    <blip r:id="rId354"/>
  </webImageSrd>
  <webImageSrd>
    <address r:id="rId355"/>
    <blip r:id="rId356"/>
  </webImageSrd>
  <webImageSrd>
    <address r:id="rId357"/>
    <blip r:id="rId358"/>
  </webImageSrd>
  <webImageSrd>
    <address r:id="rId359"/>
    <blip r:id="rId360"/>
  </webImageSrd>
  <webImageSrd>
    <address r:id="rId361"/>
    <blip r:id="rId362"/>
  </webImageSrd>
  <webImageSrd>
    <address r:id="rId363"/>
    <blip r:id="rId364"/>
  </webImageSrd>
  <webImageSrd>
    <address r:id="rId365"/>
    <blip r:id="rId366"/>
  </webImageSrd>
  <webImageSrd>
    <address r:id="rId367"/>
    <blip r:id="rId368"/>
  </webImageSrd>
  <webImageSrd>
    <address r:id="rId369"/>
    <blip r:id="rId370"/>
  </webImageSrd>
  <webImageSrd>
    <address r:id="rId371"/>
    <blip r:id="rId372"/>
  </webImageSrd>
  <webImageSrd>
    <address r:id="rId373"/>
    <blip r:id="rId374"/>
  </webImageSrd>
  <webImageSrd>
    <address r:id="rId375"/>
    <blip r:id="rId376"/>
  </webImageSrd>
  <webImageSrd>
    <address r:id="rId377"/>
    <blip r:id="rId378"/>
  </webImageSrd>
  <webImageSrd>
    <address r:id="rId379"/>
    <blip r:id="rId380"/>
  </webImageSrd>
  <webImageSrd>
    <address r:id="rId381"/>
    <blip r:id="rId382"/>
  </webImageSrd>
  <webImageSrd>
    <address r:id="rId383"/>
    <blip r:id="rId384"/>
  </webImageSrd>
  <webImageSrd>
    <address r:id="rId385"/>
    <blip r:id="rId386"/>
  </webImageSrd>
  <webImageSrd>
    <address r:id="rId387"/>
    <blip r:id="rId388"/>
  </webImageSrd>
  <webImageSrd>
    <address r:id="rId389"/>
    <blip r:id="rId390"/>
  </webImageSrd>
  <webImageSrd>
    <address r:id="rId391"/>
    <blip r:id="rId392"/>
  </webImageSrd>
  <webImageSrd>
    <address r:id="rId393"/>
    <blip r:id="rId394"/>
  </webImageSrd>
  <webImageSrd>
    <address r:id="rId395"/>
    <blip r:id="rId396"/>
  </webImageSrd>
  <webImageSrd>
    <address r:id="rId397"/>
    <blip r:id="rId398"/>
  </webImageSrd>
  <webImageSrd>
    <address r:id="rId399"/>
    <blip r:id="rId400"/>
  </webImageSrd>
  <webImageSrd>
    <address r:id="rId401"/>
    <blip r:id="rId402"/>
  </webImageSrd>
  <webImageSrd>
    <address r:id="rId403"/>
    <blip r:id="rId404"/>
  </webImageSrd>
  <webImageSrd>
    <address r:id="rId405"/>
    <blip r:id="rId406"/>
  </webImageSrd>
  <webImageSrd>
    <address r:id="rId407"/>
    <blip r:id="rId408"/>
  </webImageSrd>
  <webImageSrd>
    <address r:id="rId409"/>
    <blip r:id="rId410"/>
  </webImageSrd>
  <webImageSrd>
    <address r:id="rId411"/>
    <blip r:id="rId412"/>
  </webImageSrd>
  <webImageSrd>
    <address r:id="rId413"/>
    <blip r:id="rId414"/>
  </webImageSrd>
  <webImageSrd>
    <address r:id="rId415"/>
    <blip r:id="rId416"/>
  </webImageSrd>
  <webImageSrd>
    <address r:id="rId417"/>
    <blip r:id="rId418"/>
  </webImageSrd>
  <webImageSrd>
    <address r:id="rId419"/>
    <blip r:id="rId420"/>
  </webImageSrd>
  <webImageSrd>
    <address r:id="rId421"/>
    <blip r:id="rId422"/>
  </webImageSrd>
  <webImageSrd>
    <address r:id="rId423"/>
    <blip r:id="rId424"/>
  </webImageSrd>
  <webImageSrd>
    <address r:id="rId425"/>
    <blip r:id="rId426"/>
  </webImageSrd>
  <webImageSrd>
    <address r:id="rId427"/>
    <blip r:id="rId428"/>
  </webImageSrd>
  <webImageSrd>
    <address r:id="rId429"/>
    <blip r:id="rId430"/>
  </webImageSrd>
  <webImageSrd>
    <address r:id="rId431"/>
    <blip r:id="rId432"/>
  </webImageSrd>
  <webImageSrd>
    <address r:id="rId433"/>
    <blip r:id="rId434"/>
  </webImageSrd>
  <webImageSrd>
    <address r:id="rId435"/>
    <blip r:id="rId436"/>
  </webImageSrd>
  <webImageSrd>
    <address r:id="rId437"/>
    <blip r:id="rId438"/>
  </webImageSrd>
  <webImageSrd>
    <address r:id="rId439"/>
    <blip r:id="rId440"/>
  </webImageSrd>
  <webImageSrd>
    <address r:id="rId441"/>
    <blip r:id="rId442"/>
  </webImageSrd>
  <webImageSrd>
    <address r:id="rId443"/>
    <blip r:id="rId444"/>
  </webImageSrd>
  <webImageSrd>
    <address r:id="rId445"/>
    <blip r:id="rId446"/>
  </webImageSrd>
  <webImageSrd>
    <address r:id="rId447"/>
    <blip r:id="rId448"/>
  </webImageSrd>
  <webImageSrd>
    <address r:id="rId449"/>
    <blip r:id="rId450"/>
  </webImageSrd>
  <webImageSrd>
    <address r:id="rId451"/>
    <blip r:id="rId452"/>
  </webImageSrd>
  <webImageSrd>
    <address r:id="rId453"/>
    <blip r:id="rId454"/>
  </webImageSrd>
  <webImageSrd>
    <address r:id="rId455"/>
    <blip r:id="rId456"/>
  </webImageSrd>
  <webImageSrd>
    <address r:id="rId457"/>
    <blip r:id="rId458"/>
  </webImageSrd>
  <webImageSrd>
    <address r:id="rId459"/>
    <blip r:id="rId460"/>
  </webImageSrd>
  <webImageSrd>
    <address r:id="rId461"/>
    <blip r:id="rId462"/>
  </webImageSrd>
  <webImageSrd>
    <address r:id="rId463"/>
    <blip r:id="rId464"/>
  </webImageSrd>
  <webImageSrd>
    <address r:id="rId465"/>
    <blip r:id="rId466"/>
  </webImageSrd>
  <webImageSrd>
    <address r:id="rId467"/>
    <blip r:id="rId468"/>
  </webImageSrd>
  <webImageSrd>
    <address r:id="rId469"/>
    <blip r:id="rId470"/>
  </webImageSrd>
  <webImageSrd>
    <address r:id="rId471"/>
    <blip r:id="rId472"/>
  </webImageSrd>
  <webImageSrd>
    <address r:id="rId473"/>
    <blip r:id="rId474"/>
  </webImageSrd>
  <webImageSrd>
    <address r:id="rId475"/>
    <blip r:id="rId476"/>
  </webImageSrd>
  <webImageSrd>
    <address r:id="rId477"/>
    <blip r:id="rId478"/>
  </webImageSrd>
  <webImageSrd>
    <address r:id="rId479"/>
    <blip r:id="rId480"/>
  </webImageSrd>
  <webImageSrd>
    <address r:id="rId481"/>
    <blip r:id="rId482"/>
  </webImageSrd>
  <webImageSrd>
    <address r:id="rId483"/>
    <blip r:id="rId484"/>
  </webImageSrd>
  <webImageSrd>
    <address r:id="rId485"/>
    <blip r:id="rId486"/>
  </webImageSrd>
  <webImageSrd>
    <address r:id="rId487"/>
    <blip r:id="rId478"/>
  </webImageSrd>
  <webImageSrd>
    <address r:id="rId488"/>
    <blip r:id="rId489"/>
  </webImageSrd>
  <webImageSrd>
    <address r:id="rId490"/>
    <blip r:id="rId491"/>
  </webImageSrd>
  <webImageSrd>
    <address r:id="rId492"/>
    <blip r:id="rId493"/>
  </webImageSrd>
  <webImageSrd>
    <address r:id="rId494"/>
    <blip r:id="rId495"/>
  </webImageSrd>
  <webImageSrd>
    <address r:id="rId496"/>
    <blip r:id="rId497"/>
  </webImageSrd>
  <webImageSrd>
    <address r:id="rId498"/>
    <blip r:id="rId499"/>
  </webImageSrd>
  <webImageSrd>
    <address r:id="rId500"/>
    <blip r:id="rId478"/>
  </webImageSrd>
  <webImageSrd>
    <address r:id="rId501"/>
    <blip r:id="rId502"/>
  </webImageSrd>
  <webImageSrd>
    <address r:id="rId503"/>
    <blip r:id="rId504"/>
  </webImageSrd>
  <webImageSrd>
    <address r:id="rId505"/>
    <blip r:id="rId506"/>
  </webImageSrd>
  <webImageSrd>
    <address r:id="rId507"/>
    <blip r:id="rId508"/>
  </webImageSrd>
  <webImageSrd>
    <address r:id="rId509"/>
    <blip r:id="rId510"/>
  </webImageSrd>
  <webImageSrd>
    <address r:id="rId511"/>
    <blip r:id="rId512"/>
  </webImageSrd>
  <webImageSrd>
    <address r:id="rId513"/>
    <blip r:id="rId478"/>
  </webImageSrd>
  <webImageSrd>
    <address r:id="rId514"/>
    <blip r:id="rId515"/>
  </webImageSrd>
  <webImageSrd>
    <address r:id="rId516"/>
    <blip r:id="rId517"/>
  </webImageSrd>
  <webImageSrd>
    <address r:id="rId518"/>
    <blip r:id="rId519"/>
  </webImageSrd>
  <webImageSrd>
    <address r:id="rId520"/>
    <blip r:id="rId521"/>
  </webImageSrd>
  <webImageSrd>
    <address r:id="rId522"/>
    <blip r:id="rId478"/>
  </webImageSrd>
  <webImageSrd>
    <address r:id="rId523"/>
    <blip r:id="rId524"/>
  </webImageSrd>
  <webImageSrd>
    <address r:id="rId525"/>
    <blip r:id="rId526"/>
  </webImageSrd>
  <webImageSrd>
    <address r:id="rId527"/>
    <blip r:id="rId528"/>
  </webImageSrd>
  <webImageSrd>
    <address r:id="rId529"/>
    <blip r:id="rId530"/>
  </webImageSrd>
  <webImageSrd>
    <address r:id="rId531"/>
    <blip r:id="rId532"/>
  </webImageSrd>
  <webImageSrd>
    <address r:id="rId533"/>
    <blip r:id="rId534"/>
  </webImageSrd>
  <webImageSrd>
    <address r:id="rId535"/>
    <blip r:id="rId536"/>
  </webImageSrd>
  <webImageSrd>
    <address r:id="rId537"/>
    <blip r:id="rId538"/>
  </webImageSrd>
  <webImageSrd>
    <address r:id="rId539"/>
    <blip r:id="rId540"/>
  </webImageSrd>
  <webImageSrd>
    <address r:id="rId541"/>
    <blip r:id="rId542"/>
  </webImageSrd>
  <webImageSrd>
    <address r:id="rId543"/>
    <blip r:id="rId544"/>
  </webImageSrd>
  <webImageSrd>
    <address r:id="rId545"/>
    <blip r:id="rId546"/>
  </webImageSrd>
  <webImageSrd>
    <address r:id="rId547"/>
    <blip r:id="rId548"/>
  </webImageSrd>
  <webImageSrd>
    <address r:id="rId549"/>
    <blip r:id="rId550"/>
  </webImageSrd>
  <webImageSrd>
    <address r:id="rId551"/>
    <blip r:id="rId552"/>
  </webImageSrd>
  <webImageSrd>
    <address r:id="rId553"/>
    <blip r:id="rId554"/>
  </webImageSrd>
  <webImageSrd>
    <address r:id="rId555"/>
    <blip r:id="rId556"/>
  </webImageSrd>
  <webImageSrd>
    <address r:id="rId557"/>
    <blip r:id="rId558"/>
  </webImageSrd>
  <webImageSrd>
    <address r:id="rId559"/>
    <blip r:id="rId560"/>
  </webImageSrd>
  <webImageSrd>
    <address r:id="rId561"/>
    <blip r:id="rId562"/>
  </webImageSrd>
  <webImageSrd>
    <address r:id="rId563"/>
    <blip r:id="rId564"/>
  </webImageSrd>
  <webImageSrd>
    <address r:id="rId565"/>
    <blip r:id="rId566"/>
  </webImageSrd>
  <webImageSrd>
    <address r:id="rId567"/>
    <blip r:id="rId568"/>
  </webImageSrd>
  <webImageSrd>
    <address r:id="rId569"/>
    <blip r:id="rId570"/>
  </webImageSrd>
  <webImageSrd>
    <address r:id="rId571"/>
    <blip r:id="rId572"/>
  </webImageSrd>
  <webImageSrd>
    <address r:id="rId573"/>
    <blip r:id="rId574"/>
  </webImageSrd>
  <webImageSrd>
    <address r:id="rId575"/>
    <blip r:id="rId576"/>
  </webImageSrd>
  <webImageSrd>
    <address r:id="rId577"/>
    <blip r:id="rId578"/>
  </webImageSrd>
  <webImageSrd>
    <address r:id="rId579"/>
    <blip r:id="rId580"/>
  </webImageSrd>
  <webImageSrd>
    <address r:id="rId581"/>
    <blip r:id="rId582"/>
  </webImageSrd>
  <webImageSrd>
    <address r:id="rId583"/>
    <blip r:id="rId584"/>
  </webImageSrd>
  <webImageSrd>
    <address r:id="rId585"/>
    <blip r:id="rId586"/>
  </webImageSrd>
  <webImageSrd>
    <address r:id="rId587"/>
    <blip r:id="rId588"/>
  </webImageSrd>
  <webImageSrd>
    <address r:id="rId589"/>
    <blip r:id="rId590"/>
  </webImageSrd>
  <webImageSrd>
    <address r:id="rId591"/>
    <blip r:id="rId592"/>
  </webImageSrd>
  <webImageSrd>
    <address r:id="rId593"/>
    <blip r:id="rId594"/>
  </webImageSrd>
  <webImageSrd>
    <address r:id="rId595"/>
    <blip r:id="rId596"/>
  </webImageSrd>
  <webImageSrd>
    <address r:id="rId597"/>
    <blip r:id="rId598"/>
  </webImageSrd>
  <webImageSrd>
    <address r:id="rId599"/>
    <blip r:id="rId600"/>
  </webImageSrd>
  <webImageSrd>
    <address r:id="rId601"/>
    <blip r:id="rId602"/>
  </webImageSrd>
  <webImageSrd>
    <address r:id="rId603"/>
    <blip r:id="rId604"/>
  </webImageSrd>
  <webImageSrd>
    <address r:id="rId605"/>
    <blip r:id="rId606"/>
  </webImageSrd>
  <webImageSrd>
    <address r:id="rId607"/>
    <blip r:id="rId608"/>
  </webImageSrd>
  <webImageSrd>
    <address r:id="rId609"/>
    <blip r:id="rId610"/>
  </webImageSrd>
  <webImageSrd>
    <address r:id="rId611"/>
    <blip r:id="rId612"/>
  </webImageSrd>
  <webImageSrd>
    <address r:id="rId613"/>
    <blip r:id="rId614"/>
  </webImageSrd>
  <webImageSrd>
    <address r:id="rId615"/>
    <blip r:id="rId616"/>
  </webImageSrd>
  <webImageSrd>
    <address r:id="rId617"/>
    <blip r:id="rId618"/>
  </webImageSrd>
  <webImageSrd>
    <address r:id="rId619"/>
    <blip r:id="rId620"/>
  </webImageSrd>
  <webImageSrd>
    <address r:id="rId621"/>
    <blip r:id="rId622"/>
  </webImageSrd>
  <webImageSrd>
    <address r:id="rId623"/>
    <blip r:id="rId624"/>
  </webImageSrd>
  <webImageSrd>
    <address r:id="rId625"/>
    <blip r:id="rId626"/>
  </webImageSrd>
  <webImageSrd>
    <address r:id="rId627"/>
    <blip r:id="rId628"/>
  </webImageSrd>
  <webImageSrd>
    <address r:id="rId629"/>
    <blip r:id="rId630"/>
  </webImageSrd>
  <webImageSrd>
    <address r:id="rId631"/>
    <blip r:id="rId632"/>
  </webImageSrd>
  <webImageSrd>
    <address r:id="rId633"/>
    <blip r:id="rId634"/>
  </webImageSrd>
  <webImageSrd>
    <address r:id="rId635"/>
    <blip r:id="rId636"/>
  </webImageSrd>
  <webImageSrd>
    <address r:id="rId637"/>
    <blip r:id="rId638"/>
  </webImageSrd>
  <webImageSrd>
    <address r:id="rId639"/>
    <blip r:id="rId640"/>
  </webImageSrd>
  <webImageSrd>
    <address r:id="rId641"/>
    <blip r:id="rId642"/>
  </webImageSrd>
  <webImageSrd>
    <address r:id="rId643"/>
    <blip r:id="rId644"/>
  </webImageSrd>
  <webImageSrd>
    <address r:id="rId645"/>
    <blip r:id="rId646"/>
  </webImageSrd>
  <webImageSrd>
    <address r:id="rId647"/>
    <blip r:id="rId648"/>
  </webImageSrd>
  <webImageSrd>
    <address r:id="rId649"/>
    <blip r:id="rId650"/>
  </webImageSrd>
  <webImageSrd>
    <address r:id="rId651"/>
    <blip r:id="rId652"/>
  </webImageSrd>
  <webImageSrd>
    <address r:id="rId653"/>
    <blip r:id="rId654"/>
  </webImageSrd>
  <webImageSrd>
    <address r:id="rId655"/>
    <blip r:id="rId656"/>
  </webImageSrd>
  <webImageSrd>
    <address r:id="rId657"/>
    <blip r:id="rId658"/>
  </webImageSrd>
  <webImageSrd>
    <address r:id="rId659"/>
    <blip r:id="rId660"/>
  </webImageSrd>
  <webImageSrd>
    <address r:id="rId661"/>
    <blip r:id="rId662"/>
  </webImageSrd>
  <webImageSrd>
    <address r:id="rId663"/>
    <blip r:id="rId664"/>
  </webImageSrd>
  <webImageSrd>
    <address r:id="rId665"/>
    <blip r:id="rId666"/>
  </webImageSrd>
  <webImageSrd>
    <address r:id="rId667"/>
    <blip r:id="rId668"/>
  </webImageSrd>
  <webImageSrd>
    <address r:id="rId669"/>
    <blip r:id="rId670"/>
  </webImageSrd>
  <webImageSrd>
    <address r:id="rId671"/>
    <blip r:id="rId672"/>
  </webImageSrd>
  <webImageSrd>
    <address r:id="rId673"/>
    <blip r:id="rId674"/>
  </webImageSrd>
  <webImageSrd>
    <address r:id="rId675"/>
    <blip r:id="rId676"/>
  </webImageSrd>
  <webImageSrd>
    <address r:id="rId677"/>
    <blip r:id="rId678"/>
  </webImageSrd>
  <webImageSrd>
    <address r:id="rId679"/>
    <blip r:id="rId680"/>
  </webImageSrd>
  <webImageSrd>
    <address r:id="rId681"/>
    <blip r:id="rId682"/>
  </webImageSrd>
  <webImageSrd>
    <address r:id="rId683"/>
    <blip r:id="rId684"/>
  </webImageSrd>
  <webImageSrd>
    <address r:id="rId685"/>
    <blip r:id="rId686"/>
  </webImageSrd>
  <webImageSrd>
    <address r:id="rId687"/>
    <blip r:id="rId688"/>
  </webImageSrd>
  <webImageSrd>
    <address r:id="rId689"/>
    <blip r:id="rId690"/>
  </webImageSrd>
  <webImageSrd>
    <address r:id="rId691"/>
    <blip r:id="rId692"/>
  </webImageSrd>
  <webImageSrd>
    <address r:id="rId693"/>
    <blip r:id="rId694"/>
  </webImageSrd>
  <webImageSrd>
    <address r:id="rId695"/>
    <blip r:id="rId696"/>
  </webImageSrd>
  <webImageSrd>
    <address r:id="rId697"/>
    <blip r:id="rId698"/>
  </webImageSrd>
  <webImageSrd>
    <address r:id="rId699"/>
    <blip r:id="rId700"/>
  </webImageSrd>
  <webImageSrd>
    <address r:id="rId701"/>
    <blip r:id="rId702"/>
  </webImageSrd>
  <webImageSrd>
    <address r:id="rId703"/>
    <blip r:id="rId704"/>
  </webImageSrd>
  <webImageSrd>
    <address r:id="rId705"/>
    <blip r:id="rId706"/>
  </webImageSrd>
  <webImageSrd>
    <address r:id="rId707"/>
    <blip r:id="rId708"/>
  </webImageSrd>
  <webImageSrd>
    <address r:id="rId709"/>
    <blip r:id="rId710"/>
  </webImageSrd>
  <webImageSrd>
    <address r:id="rId711"/>
    <blip r:id="rId712"/>
  </webImageSrd>
  <webImageSrd>
    <address r:id="rId713"/>
    <blip r:id="rId714"/>
  </webImageSrd>
  <webImageSrd>
    <address r:id="rId715"/>
    <blip r:id="rId716"/>
  </webImageSrd>
  <webImageSrd>
    <address r:id="rId717"/>
    <blip r:id="rId718"/>
  </webImageSrd>
  <webImageSrd>
    <address r:id="rId719"/>
    <blip r:id="rId720"/>
  </webImageSrd>
  <webImageSrd>
    <address r:id="rId721"/>
    <blip r:id="rId722"/>
  </webImageSrd>
  <webImageSrd>
    <address r:id="rId723"/>
    <blip r:id="rId724"/>
  </webImageSrd>
  <webImageSrd>
    <address r:id="rId725"/>
    <blip r:id="rId726"/>
  </webImageSrd>
  <webImageSrd>
    <address r:id="rId727"/>
    <blip r:id="rId728"/>
  </webImageSrd>
  <webImageSrd>
    <address r:id="rId729"/>
    <blip r:id="rId730"/>
  </webImageSrd>
  <webImageSrd>
    <address r:id="rId731"/>
    <blip r:id="rId732"/>
  </webImageSrd>
  <webImageSrd>
    <address r:id="rId733"/>
    <blip r:id="rId734"/>
  </webImageSrd>
  <webImageSrd>
    <address r:id="rId735"/>
    <blip r:id="rId736"/>
  </webImageSrd>
  <webImageSrd>
    <address r:id="rId737"/>
    <blip r:id="rId738"/>
  </webImageSrd>
  <webImageSrd>
    <address r:id="rId739"/>
    <blip r:id="rId740"/>
  </webImageSrd>
  <webImageSrd>
    <address r:id="rId741"/>
    <blip r:id="rId742"/>
  </webImageSrd>
  <webImageSrd>
    <address r:id="rId743"/>
    <blip r:id="rId744"/>
  </webImageSrd>
  <webImageSrd>
    <address r:id="rId745"/>
    <blip r:id="rId746"/>
  </webImageSrd>
  <webImageSrd>
    <address r:id="rId747"/>
    <blip r:id="rId748"/>
  </webImageSrd>
  <webImageSrd>
    <address r:id="rId749"/>
    <blip r:id="rId750"/>
  </webImageSrd>
  <webImageSrd>
    <address r:id="rId751"/>
    <blip r:id="rId752"/>
  </webImageSrd>
  <webImageSrd>
    <address r:id="rId753"/>
    <blip r:id="rId754"/>
  </webImageSrd>
  <webImageSrd>
    <address r:id="rId755"/>
    <blip r:id="rId756"/>
  </webImageSrd>
  <webImageSrd>
    <address r:id="rId757"/>
    <blip r:id="rId758"/>
  </webImageSrd>
  <webImageSrd>
    <address r:id="rId759"/>
    <blip r:id="rId760"/>
  </webImageSrd>
  <webImageSrd>
    <address r:id="rId761"/>
    <blip r:id="rId762"/>
  </webImageSrd>
  <webImageSrd>
    <address r:id="rId763"/>
    <blip r:id="rId764"/>
  </webImageSrd>
  <webImageSrd>
    <address r:id="rId765"/>
    <blip r:id="rId766"/>
  </webImageSrd>
  <webImageSrd>
    <address r:id="rId767"/>
    <blip r:id="rId768"/>
  </webImageSrd>
  <webImageSrd>
    <address r:id="rId769"/>
    <blip r:id="rId770"/>
  </webImageSrd>
  <webImageSrd>
    <address r:id="rId771"/>
    <blip r:id="rId772"/>
  </webImageSrd>
  <webImageSrd>
    <address r:id="rId773"/>
    <blip r:id="rId774"/>
  </webImageSrd>
  <webImageSrd>
    <address r:id="rId775"/>
    <blip r:id="rId776"/>
  </webImageSrd>
  <webImageSrd>
    <address r:id="rId777"/>
    <blip r:id="rId778"/>
  </webImageSrd>
  <webImageSrd>
    <address r:id="rId779"/>
    <blip r:id="rId780"/>
  </webImageSrd>
  <webImageSrd>
    <address r:id="rId781"/>
    <blip r:id="rId782"/>
  </webImageSrd>
  <webImageSrd>
    <address r:id="rId783"/>
    <blip r:id="rId784"/>
  </webImageSrd>
  <webImageSrd>
    <address r:id="rId785"/>
    <blip r:id="rId786"/>
  </webImageSrd>
  <webImageSrd>
    <address r:id="rId787"/>
    <blip r:id="rId788"/>
  </webImageSrd>
  <webImageSrd>
    <address r:id="rId789"/>
    <blip r:id="rId790"/>
  </webImageSrd>
  <webImageSrd>
    <address r:id="rId791"/>
    <blip r:id="rId792"/>
  </webImageSrd>
  <webImageSrd>
    <address r:id="rId793"/>
    <blip r:id="rId794"/>
  </webImageSrd>
  <webImageSrd>
    <address r:id="rId795"/>
    <blip r:id="rId796"/>
  </webImageSrd>
  <webImageSrd>
    <address r:id="rId797"/>
    <blip r:id="rId798"/>
  </webImageSrd>
  <webImageSrd>
    <address r:id="rId799"/>
    <blip r:id="rId800"/>
  </webImageSrd>
  <webImageSrd>
    <address r:id="rId801"/>
    <blip r:id="rId802"/>
  </webImageSrd>
  <webImageSrd>
    <address r:id="rId803"/>
    <blip r:id="rId804"/>
  </webImageSrd>
  <webImageSrd>
    <address r:id="rId805"/>
    <blip r:id="rId806"/>
  </webImageSrd>
  <webImageSrd>
    <address r:id="rId807"/>
    <blip r:id="rId808"/>
  </webImageSrd>
  <webImageSrd>
    <address r:id="rId809"/>
    <blip r:id="rId810"/>
  </webImageSrd>
  <webImageSrd>
    <address r:id="rId811"/>
    <blip r:id="rId812"/>
  </webImageSrd>
  <webImageSrd>
    <address r:id="rId813"/>
    <blip r:id="rId814"/>
  </webImageSrd>
  <webImageSrd>
    <address r:id="rId815"/>
    <blip r:id="rId816"/>
  </webImageSrd>
  <webImageSrd>
    <address r:id="rId817"/>
    <blip r:id="rId818"/>
  </webImageSrd>
  <webImageSrd>
    <address r:id="rId819"/>
    <blip r:id="rId820"/>
  </webImageSrd>
  <webImageSrd>
    <address r:id="rId821"/>
    <blip r:id="rId822"/>
  </webImageSrd>
  <webImageSrd>
    <address r:id="rId823"/>
    <blip r:id="rId824"/>
  </webImageSrd>
  <webImageSrd>
    <address r:id="rId825"/>
    <blip r:id="rId826"/>
  </webImageSrd>
  <webImageSrd>
    <address r:id="rId827"/>
    <blip r:id="rId828"/>
  </webImageSrd>
  <webImageSrd>
    <address r:id="rId829"/>
    <blip r:id="rId830"/>
  </webImageSrd>
  <webImageSrd>
    <address r:id="rId831"/>
    <blip r:id="rId832"/>
  </webImageSrd>
  <webImageSrd>
    <address r:id="rId833"/>
    <blip r:id="rId834"/>
  </webImageSrd>
  <webImageSrd>
    <address r:id="rId835"/>
    <blip r:id="rId836"/>
  </webImageSrd>
  <webImageSrd>
    <address r:id="rId837"/>
    <blip r:id="rId838"/>
  </webImageSrd>
  <webImageSrd>
    <address r:id="rId839"/>
    <blip r:id="rId840"/>
  </webImageSrd>
  <webImageSrd>
    <address r:id="rId841"/>
    <blip r:id="rId842"/>
  </webImageSrd>
  <webImageSrd>
    <address r:id="rId843"/>
    <blip r:id="rId844"/>
  </webImageSrd>
  <webImageSrd>
    <address r:id="rId845"/>
    <blip r:id="rId846"/>
  </webImageSrd>
  <webImageSrd>
    <address r:id="rId847"/>
    <blip r:id="rId848"/>
  </webImageSrd>
  <webImageSrd>
    <address r:id="rId849"/>
    <blip r:id="rId850"/>
  </webImageSrd>
  <webImageSrd>
    <address r:id="rId851"/>
    <blip r:id="rId852"/>
  </webImageSrd>
  <webImageSrd>
    <address r:id="rId853"/>
    <blip r:id="rId854"/>
  </webImageSrd>
  <webImageSrd>
    <address r:id="rId855"/>
    <blip r:id="rId856"/>
  </webImageSrd>
  <webImageSrd>
    <address r:id="rId857"/>
    <blip r:id="rId858"/>
  </webImageSrd>
  <webImageSrd>
    <address r:id="rId859"/>
    <blip r:id="rId860"/>
  </webImageSrd>
  <webImageSrd>
    <address r:id="rId861"/>
    <blip r:id="rId862"/>
  </webImageSrd>
  <webImageSrd>
    <address r:id="rId863"/>
    <blip r:id="rId864"/>
  </webImageSrd>
  <webImageSrd>
    <address r:id="rId865"/>
    <blip r:id="rId866"/>
  </webImageSrd>
  <webImageSrd>
    <address r:id="rId867"/>
    <blip r:id="rId868"/>
  </webImageSrd>
  <webImageSrd>
    <address r:id="rId869"/>
    <blip r:id="rId870"/>
  </webImageSrd>
  <webImageSrd>
    <address r:id="rId871"/>
    <blip r:id="rId872"/>
  </webImageSrd>
  <webImageSrd>
    <address r:id="rId873"/>
    <blip r:id="rId874"/>
  </webImageSrd>
  <webImageSrd>
    <address r:id="rId875"/>
    <blip r:id="rId876"/>
  </webImageSrd>
  <webImageSrd>
    <address r:id="rId877"/>
    <blip r:id="rId878"/>
  </webImageSrd>
  <webImageSrd>
    <address r:id="rId879"/>
    <blip r:id="rId880"/>
  </webImageSrd>
  <webImageSrd>
    <address r:id="rId881"/>
    <blip r:id="rId882"/>
  </webImageSrd>
  <webImageSrd>
    <address r:id="rId883"/>
    <blip r:id="rId884"/>
  </webImageSrd>
  <webImageSrd>
    <address r:id="rId885"/>
    <blip r:id="rId886"/>
  </webImageSrd>
  <webImageSrd>
    <address r:id="rId887"/>
    <blip r:id="rId888"/>
  </webImageSrd>
  <webImageSrd>
    <address r:id="rId889"/>
    <blip r:id="rId890"/>
  </webImageSrd>
  <webImageSrd>
    <address r:id="rId891"/>
    <blip r:id="rId892"/>
  </webImageSrd>
  <webImageSrd>
    <address r:id="rId893"/>
    <blip r:id="rId894"/>
  </webImageSrd>
  <webImageSrd>
    <address r:id="rId895"/>
    <blip r:id="rId896"/>
  </webImageSrd>
  <webImageSrd>
    <address r:id="rId897"/>
    <blip r:id="rId898"/>
  </webImageSrd>
  <webImageSrd>
    <address r:id="rId899"/>
    <blip r:id="rId900"/>
  </webImageSrd>
  <webImageSrd>
    <address r:id="rId901"/>
    <blip r:id="rId902"/>
  </webImageSrd>
  <webImageSrd>
    <address r:id="rId903"/>
    <blip r:id="rId904"/>
  </webImageSrd>
  <webImageSrd>
    <address r:id="rId905"/>
    <blip r:id="rId906"/>
  </webImageSrd>
  <webImageSrd>
    <address r:id="rId907"/>
    <blip r:id="rId908"/>
  </webImageSrd>
  <webImageSrd>
    <address r:id="rId909"/>
    <blip r:id="rId910"/>
  </webImageSrd>
  <webImageSrd>
    <address r:id="rId911"/>
    <blip r:id="rId912"/>
  </webImageSrd>
  <webImageSrd>
    <address r:id="rId913"/>
    <blip r:id="rId914"/>
  </webImageSrd>
  <webImageSrd>
    <address r:id="rId915"/>
    <blip r:id="rId916"/>
  </webImageSrd>
  <webImageSrd>
    <address r:id="rId917"/>
    <blip r:id="rId918"/>
  </webImageSrd>
  <webImageSrd>
    <address r:id="rId919"/>
    <blip r:id="rId920"/>
  </webImageSrd>
  <webImageSrd>
    <address r:id="rId921"/>
    <blip r:id="rId922"/>
  </webImageSrd>
  <webImageSrd>
    <address r:id="rId923"/>
    <blip r:id="rId924"/>
  </webImageSrd>
  <webImageSrd>
    <address r:id="rId925"/>
    <blip r:id="rId926"/>
  </webImageSrd>
  <webImageSrd>
    <address r:id="rId927"/>
    <blip r:id="rId928"/>
  </webImageSrd>
  <webImageSrd>
    <address r:id="rId929"/>
    <blip r:id="rId930"/>
  </webImageSrd>
  <webImageSrd>
    <address r:id="rId931"/>
    <blip r:id="rId932"/>
  </webImageSrd>
  <webImageSrd>
    <address r:id="rId933"/>
    <blip r:id="rId934"/>
  </webImageSrd>
  <webImageSrd>
    <address r:id="rId935"/>
    <blip r:id="rId936"/>
  </webImageSrd>
  <webImageSrd>
    <address r:id="rId937"/>
    <blip r:id="rId938"/>
  </webImageSrd>
  <webImageSrd>
    <address r:id="rId939"/>
    <blip r:id="rId940"/>
  </webImageSrd>
  <webImageSrd>
    <address r:id="rId941"/>
    <blip r:id="rId942"/>
  </webImageSrd>
  <webImageSrd>
    <address r:id="rId943"/>
    <blip r:id="rId944"/>
  </webImageSrd>
  <webImageSrd>
    <address r:id="rId945"/>
    <blip r:id="rId946"/>
  </webImageSrd>
  <webImageSrd>
    <address r:id="rId947"/>
    <blip r:id="rId948"/>
  </webImageSrd>
  <webImageSrd>
    <address r:id="rId949"/>
    <blip r:id="rId950"/>
  </webImageSrd>
  <webImageSrd>
    <address r:id="rId951"/>
    <blip r:id="rId952"/>
  </webImageSrd>
  <webImageSrd>
    <address r:id="rId953"/>
    <blip r:id="rId954"/>
  </webImageSrd>
  <webImageSrd>
    <address r:id="rId955"/>
    <blip r:id="rId956"/>
  </webImageSrd>
  <webImageSrd>
    <address r:id="rId957"/>
    <blip r:id="rId958"/>
  </webImageSrd>
  <webImageSrd>
    <address r:id="rId959"/>
    <blip r:id="rId960"/>
  </webImageSrd>
  <webImageSrd>
    <address r:id="rId961"/>
    <blip r:id="rId962"/>
  </webImageSrd>
  <webImageSrd>
    <address r:id="rId963"/>
    <blip r:id="rId964"/>
  </webImageSrd>
  <webImageSrd>
    <address r:id="rId965"/>
    <blip r:id="rId966"/>
  </webImageSrd>
  <webImageSrd>
    <address r:id="rId967"/>
    <blip r:id="rId968"/>
  </webImageSrd>
  <webImageSrd>
    <address r:id="rId969"/>
    <blip r:id="rId970"/>
  </webImageSrd>
  <webImageSrd>
    <address r:id="rId971"/>
    <blip r:id="rId972"/>
  </webImageSrd>
  <webImageSrd>
    <address r:id="rId973"/>
    <blip r:id="rId974"/>
  </webImageSrd>
  <webImageSrd>
    <address r:id="rId975"/>
    <blip r:id="rId976"/>
  </webImageSrd>
  <webImageSrd>
    <address r:id="rId977"/>
    <blip r:id="rId978"/>
  </webImageSrd>
  <webImageSrd>
    <address r:id="rId979"/>
    <blip r:id="rId980"/>
  </webImageSrd>
  <webImageSrd>
    <address r:id="rId981"/>
    <blip r:id="rId982"/>
  </webImageSrd>
  <webImageSrd>
    <address r:id="rId983"/>
    <blip r:id="rId984"/>
  </webImageSrd>
  <webImageSrd>
    <address r:id="rId985"/>
    <blip r:id="rId986"/>
  </webImageSrd>
  <webImageSrd>
    <address r:id="rId987"/>
    <blip r:id="rId988"/>
  </webImageSrd>
  <webImageSrd>
    <address r:id="rId989"/>
    <blip r:id="rId990"/>
  </webImageSrd>
  <webImageSrd>
    <address r:id="rId991"/>
    <blip r:id="rId992"/>
  </webImageSrd>
  <webImageSrd>
    <address r:id="rId993"/>
    <blip r:id="rId994"/>
  </webImageSrd>
  <webImageSrd>
    <address r:id="rId995"/>
    <blip r:id="rId996"/>
  </webImageSrd>
  <webImageSrd>
    <address r:id="rId997"/>
    <blip r:id="rId998"/>
  </webImageSrd>
  <webImageSrd>
    <address r:id="rId999"/>
    <blip r:id="rId1000"/>
  </webImageSrd>
  <webImageSrd>
    <address r:id="rId1001"/>
    <blip r:id="rId1002"/>
  </webImageSrd>
  <webImageSrd>
    <address r:id="rId1003"/>
    <blip r:id="rId1004"/>
  </webImageSrd>
  <webImageSrd>
    <address r:id="rId1005"/>
    <blip r:id="rId1006"/>
  </webImageSrd>
  <webImageSrd>
    <address r:id="rId1007"/>
    <blip r:id="rId1008"/>
  </webImageSrd>
  <webImageSrd>
    <address r:id="rId1009"/>
    <blip r:id="rId1010"/>
  </webImageSrd>
  <webImageSrd>
    <address r:id="rId1011"/>
    <blip r:id="rId1012"/>
  </webImageSrd>
  <webImageSrd>
    <address r:id="rId1013"/>
    <blip r:id="rId1014"/>
  </webImageSrd>
  <webImageSrd>
    <address r:id="rId1015"/>
    <blip r:id="rId1016"/>
  </webImageSrd>
  <webImageSrd>
    <address r:id="rId1017"/>
    <blip r:id="rId1018"/>
  </webImageSrd>
  <webImageSrd>
    <address r:id="rId1019"/>
    <blip r:id="rId1020"/>
  </webImageSrd>
  <webImageSrd>
    <address r:id="rId1021"/>
    <blip r:id="rId1022"/>
  </webImageSrd>
  <webImageSrd>
    <address r:id="rId1023"/>
    <blip r:id="rId1024"/>
  </webImageSrd>
  <webImageSrd>
    <address r:id="rId1025"/>
    <blip r:id="rId1026"/>
  </webImageSrd>
  <webImageSrd>
    <address r:id="rId1027"/>
    <blip r:id="rId1028"/>
  </webImageSrd>
  <webImageSrd>
    <address r:id="rId1029"/>
    <blip r:id="rId1030"/>
  </webImageSrd>
  <webImageSrd>
    <address r:id="rId1031"/>
    <blip r:id="rId1032"/>
  </webImageSrd>
  <webImageSrd>
    <address r:id="rId1033"/>
    <blip r:id="rId1034"/>
  </webImageSrd>
  <webImageSrd>
    <address r:id="rId1035"/>
    <blip r:id="rId1036"/>
  </webImageSrd>
  <webImageSrd>
    <address r:id="rId1037"/>
    <blip r:id="rId1038"/>
  </webImageSrd>
  <webImageSrd>
    <address r:id="rId1039"/>
    <blip r:id="rId1040"/>
  </webImageSrd>
  <webImageSrd>
    <address r:id="rId1041"/>
    <blip r:id="rId1042"/>
  </webImageSrd>
  <webImageSrd>
    <address r:id="rId1043"/>
    <blip r:id="rId1044"/>
  </webImageSrd>
  <webImageSrd>
    <address r:id="rId1045"/>
    <blip r:id="rId1046"/>
  </webImageSrd>
  <webImageSrd>
    <address r:id="rId1047"/>
    <blip r:id="rId1048"/>
  </webImageSrd>
  <webImageSrd>
    <address r:id="rId1049"/>
    <blip r:id="rId1050"/>
  </webImageSrd>
  <webImageSrd>
    <address r:id="rId1051"/>
    <blip r:id="rId1052"/>
  </webImageSrd>
  <webImageSrd>
    <address r:id="rId1053"/>
    <blip r:id="rId1054"/>
  </webImageSrd>
  <webImageSrd>
    <address r:id="rId1055"/>
    <blip r:id="rId1056"/>
  </webImageSrd>
  <webImageSrd>
    <address r:id="rId1057"/>
    <blip r:id="rId1058"/>
  </webImageSrd>
  <webImageSrd>
    <address r:id="rId1059"/>
    <blip r:id="rId1060"/>
  </webImageSrd>
  <webImageSrd>
    <address r:id="rId1061"/>
    <blip r:id="rId1062"/>
  </webImageSrd>
  <webImageSrd>
    <address r:id="rId1063"/>
    <blip r:id="rId1064"/>
  </webImageSrd>
  <webImageSrd>
    <address r:id="rId1065"/>
    <blip r:id="rId1066"/>
  </webImageSrd>
  <webImageSrd>
    <address r:id="rId1067"/>
    <blip r:id="rId1068"/>
  </webImageSrd>
  <webImageSrd>
    <address r:id="rId1069"/>
    <blip r:id="rId1070"/>
  </webImageSrd>
  <webImageSrd>
    <address r:id="rId1071"/>
    <blip r:id="rId1072"/>
  </webImageSrd>
  <webImageSrd>
    <address r:id="rId1073"/>
    <blip r:id="rId1074"/>
  </webImageSrd>
  <webImageSrd>
    <address r:id="rId1075"/>
    <blip r:id="rId1076"/>
  </webImageSrd>
  <webImageSrd>
    <address r:id="rId1077"/>
    <blip r:id="rId1078"/>
  </webImageSrd>
  <webImageSrd>
    <address r:id="rId1079"/>
    <blip r:id="rId1080"/>
  </webImageSrd>
  <webImageSrd>
    <address r:id="rId1081"/>
    <blip r:id="rId1082"/>
  </webImageSrd>
  <webImageSrd>
    <address r:id="rId1083"/>
    <blip r:id="rId1084"/>
  </webImageSrd>
  <webImageSrd>
    <address r:id="rId1085"/>
    <blip r:id="rId1086"/>
  </webImageSrd>
  <webImageSrd>
    <address r:id="rId1087"/>
    <blip r:id="rId1088"/>
  </webImageSrd>
  <webImageSrd>
    <address r:id="rId1089"/>
    <blip r:id="rId1090"/>
  </webImageSrd>
  <webImageSrd>
    <address r:id="rId1091"/>
    <blip r:id="rId1092"/>
  </webImageSrd>
  <webImageSrd>
    <address r:id="rId1093"/>
    <blip r:id="rId1094"/>
  </webImageSrd>
  <webImageSrd>
    <address r:id="rId1095"/>
    <blip r:id="rId1096"/>
  </webImageSrd>
  <webImageSrd>
    <address r:id="rId1097"/>
    <blip r:id="rId1098"/>
  </webImageSrd>
  <webImageSrd>
    <address r:id="rId1099"/>
    <blip r:id="rId1100"/>
  </webImageSrd>
  <webImageSrd>
    <address r:id="rId1101"/>
    <blip r:id="rId1102"/>
  </webImageSrd>
  <webImageSrd>
    <address r:id="rId1103"/>
    <blip r:id="rId1104"/>
  </webImageSrd>
  <webImageSrd>
    <address r:id="rId1105"/>
    <blip r:id="rId1106"/>
  </webImageSrd>
  <webImageSrd>
    <address r:id="rId1107"/>
    <blip r:id="rId1108"/>
  </webImageSrd>
  <webImageSrd>
    <address r:id="rId1109"/>
    <blip r:id="rId1110"/>
  </webImageSrd>
  <webImageSrd>
    <address r:id="rId1111"/>
    <blip r:id="rId1112"/>
  </webImageSrd>
  <webImageSrd>
    <address r:id="rId1113"/>
    <blip r:id="rId1114"/>
  </webImageSrd>
  <webImageSrd>
    <address r:id="rId1115"/>
    <blip r:id="rId1116"/>
  </webImageSrd>
  <webImageSrd>
    <address r:id="rId1117"/>
    <blip r:id="rId1118"/>
  </webImageSrd>
  <webImageSrd>
    <address r:id="rId1119"/>
    <blip r:id="rId1120"/>
  </webImageSrd>
  <webImageSrd>
    <address r:id="rId1121"/>
    <blip r:id="rId1122"/>
  </webImageSrd>
  <webImageSrd>
    <address r:id="rId1123"/>
    <blip r:id="rId1124"/>
  </webImageSrd>
  <webImageSrd>
    <address r:id="rId1125"/>
    <blip r:id="rId1126"/>
  </webImageSrd>
</webImagesSrd>
</file>

<file path=xl/richData/rdrichvalue.xml><?xml version="1.0" encoding="utf-8"?>
<rvData xmlns="http://schemas.microsoft.com/office/spreadsheetml/2017/richdata" count="893">
  <rv s="0">
    <v>0</v>
    <v>5</v>
    <v>0</v>
    <v>0</v>
    <v>anemo</v>
  </rv>
  <rv s="1">
    <v>11</v>
    <v>1</v>
  </rv>
  <rv s="2">
    <v>0</v>
    <v>1</v>
    <v>0</v>
    <v>0</v>
    <v>HerosWit</v>
  </rv>
  <rv s="2">
    <v>1</v>
    <v>1</v>
    <v>0</v>
    <v>0</v>
    <v>Albedo</v>
  </rv>
  <rv s="2">
    <v>2</v>
    <v>4</v>
    <v>0</v>
    <v>0</v>
    <v>sword</v>
  </rv>
  <rv s="2">
    <v>3</v>
    <v>4</v>
    <v>0</v>
    <v>0</v>
    <v>geo</v>
  </rv>
  <rv s="2">
    <v>4</v>
    <v>4</v>
    <v>0</v>
    <v>0</v>
    <v>BasaltPillar</v>
  </rv>
  <rv s="2">
    <v>5</v>
    <v>4</v>
    <v>0</v>
    <v>0</v>
    <v>TuskofMonocerosCaeli</v>
  </rv>
  <rv s="2">
    <v>6</v>
    <v>4</v>
    <v>0</v>
    <v>0</v>
    <v>PhilosophiesofBallad</v>
  </rv>
  <rv s="2">
    <v>7</v>
    <v>4</v>
    <v>0</v>
    <v>0</v>
    <v>ForbiddenCurseScroll</v>
  </rv>
  <rv s="2">
    <v>8</v>
    <v>4</v>
    <v>0</v>
    <v>0</v>
    <v>Cecilia</v>
  </rv>
  <rv s="2">
    <v>9</v>
    <v>4</v>
    <v>0</v>
    <v>0</v>
    <v>PrithivaTopazGemstone</v>
  </rv>
  <rv s="2">
    <v>10</v>
    <v>1</v>
    <v>0</v>
    <v>0</v>
    <v>HurricaneSeed</v>
  </rv>
  <rv s="2">
    <v>11</v>
    <v>1</v>
    <v>0</v>
    <v>0</v>
    <v>DvalinsPlume</v>
  </rv>
  <rv s="2">
    <v>12</v>
    <v>1</v>
    <v>0</v>
    <v>0</v>
    <v>SlimeConcentrate</v>
  </rv>
  <rv s="2">
    <v>13</v>
    <v>1</v>
    <v>0</v>
    <v>0</v>
    <v>SlimeSecretions</v>
  </rv>
  <rv s="2">
    <v>14</v>
    <v>1</v>
    <v>0</v>
    <v>0</v>
    <v>SlimeCondensate</v>
  </rv>
  <rv s="2">
    <v>15</v>
    <v>1</v>
    <v>0</v>
    <v>0</v>
    <v>PhilosophiesofFreedom</v>
  </rv>
  <rv s="2">
    <v>16</v>
    <v>1</v>
    <v>0</v>
    <v>0</v>
    <v>Wolfhook</v>
  </rv>
  <rv s="2">
    <v>17</v>
    <v>1</v>
    <v>0</v>
    <v>0</v>
    <v>BrilliantDiamondGemstone</v>
  </rv>
  <rv s="2">
    <v>18</v>
    <v>1</v>
    <v>0</v>
    <v>0</v>
    <v>Mora</v>
  </rv>
  <rv s="2">
    <v>2</v>
    <v>1</v>
    <v>0</v>
    <v>0</v>
    <v>sword</v>
  </rv>
  <rv s="2">
    <v>19</v>
    <v>1</v>
    <v>0</v>
    <v>0</v>
    <v>anemo</v>
  </rv>
  <rv s="2">
    <v>20</v>
    <v>1</v>
    <v>0</v>
    <v>0</v>
    <v>Absolution</v>
  </rv>
  <rv s="2">
    <v>21</v>
    <v>1</v>
    <v>0</v>
    <v>0</v>
    <v>TileofDecarabiansTower</v>
  </rv>
  <rv s="2">
    <v>22</v>
    <v>1</v>
    <v>0</v>
    <v>0</v>
    <v>MysticEnhancementOre</v>
  </rv>
  <rv s="2">
    <v>23</v>
    <v>1</v>
    <v>0</v>
    <v>0</v>
    <v>Alhaitham</v>
  </rv>
  <rv s="2">
    <v>24</v>
    <v>4</v>
    <v>0</v>
    <v>0</v>
    <v>dendro</v>
  </rv>
  <rv s="2">
    <v>25</v>
    <v>4</v>
    <v>0</v>
    <v>0</v>
    <v>PseudoStamens</v>
  </rv>
  <rv s="2">
    <v>26</v>
    <v>4</v>
    <v>0</v>
    <v>0</v>
    <v>MirrorofMushin</v>
  </rv>
  <rv s="2">
    <v>27</v>
    <v>4</v>
    <v>0</v>
    <v>0</v>
    <v>PhilosophiesofIngenuity</v>
  </rv>
  <rv s="2">
    <v>28</v>
    <v>4</v>
    <v>0</v>
    <v>0</v>
    <v>RichRedBrocade</v>
  </rv>
  <rv s="2">
    <v>29</v>
    <v>4</v>
    <v>0</v>
    <v>0</v>
    <v>SandGreasePupa</v>
  </rv>
  <rv s="2">
    <v>30</v>
    <v>4</v>
    <v>0</v>
    <v>0</v>
    <v>NagadusEmeraldGemstone</v>
  </rv>
  <rv s="2">
    <v>31</v>
    <v>1</v>
    <v>0</v>
    <v>0</v>
    <v>LightningPrism</v>
  </rv>
  <rv s="2">
    <v>32</v>
    <v>1</v>
    <v>0</v>
    <v>0</v>
    <v>DvalinsClaw</v>
  </rv>
  <rv s="2">
    <v>33</v>
    <v>1</v>
    <v>0</v>
    <v>0</v>
    <v>OminousMask</v>
  </rv>
  <rv s="2">
    <v>34</v>
    <v>1</v>
    <v>0</v>
    <v>0</v>
    <v>StainedMask</v>
  </rv>
  <rv s="2">
    <v>35</v>
    <v>1</v>
    <v>0</v>
    <v>0</v>
    <v>DamagedMask</v>
  </rv>
  <rv s="2">
    <v>36</v>
    <v>1</v>
    <v>0</v>
    <v>0</v>
    <v>GuidetoFreedom</v>
  </rv>
  <rv s="2">
    <v>37</v>
    <v>1</v>
    <v>0</v>
    <v>0</v>
    <v>Valberry</v>
  </rv>
  <rv s="2">
    <v>38</v>
    <v>1</v>
    <v>0</v>
    <v>0</v>
    <v>BrilliantDiamondChunk</v>
  </rv>
  <rv s="2">
    <v>39</v>
    <v>1</v>
    <v>0</v>
    <v>0</v>
    <v>CrownofInsight</v>
  </rv>
  <rv s="2">
    <v>40</v>
    <v>1</v>
    <v>0</v>
    <v>0</v>
    <v>claymore</v>
  </rv>
  <rv s="2">
    <v>3</v>
    <v>1</v>
    <v>0</v>
    <v>0</v>
    <v>geo</v>
  </rv>
  <rv s="2">
    <v>41</v>
    <v>1</v>
    <v>0</v>
    <v>0</v>
    <v>Akuoumaru</v>
  </rv>
  <rv s="2">
    <v>42</v>
    <v>1</v>
    <v>0</v>
    <v>0</v>
    <v>DebrisofDecarabiansCity</v>
  </rv>
  <rv s="2">
    <v>43</v>
    <v>1</v>
    <v>0</v>
    <v>0</v>
    <v>FineEnhancementOre</v>
  </rv>
  <rv s="2">
    <v>44</v>
    <v>1</v>
    <v>0</v>
    <v>0</v>
    <v>Bennett</v>
  </rv>
  <rv s="2">
    <v>45</v>
    <v>4</v>
    <v>0</v>
    <v>0</v>
    <v>pyro</v>
  </rv>
  <rv s="2">
    <v>46</v>
    <v>4</v>
    <v>0</v>
    <v>0</v>
    <v>EverflameSeed</v>
  </rv>
  <rv s="2">
    <v>11</v>
    <v>4</v>
    <v>0</v>
    <v>0</v>
    <v>DvalinsPlume</v>
  </rv>
  <rv s="2">
    <v>47</v>
    <v>4</v>
    <v>0</v>
    <v>0</v>
    <v>PhilosophiesofResistance</v>
  </rv>
  <rv s="2">
    <v>48</v>
    <v>4</v>
    <v>0</v>
    <v>0</v>
    <v>GoldenRavenInsignia</v>
  </rv>
  <rv s="2">
    <v>49</v>
    <v>4</v>
    <v>0</v>
    <v>0</v>
    <v>WindwheelAster</v>
  </rv>
  <rv s="2">
    <v>50</v>
    <v>4</v>
    <v>0</v>
    <v>0</v>
    <v>AgnidusAgateGemstone</v>
  </rv>
  <rv s="2">
    <v>51</v>
    <v>1</v>
    <v>0</v>
    <v>0</v>
    <v>HoarfrostCore</v>
  </rv>
  <rv s="2">
    <v>52</v>
    <v>1</v>
    <v>0</v>
    <v>0</v>
    <v>DvalinsSigh</v>
  </rv>
  <rv s="2">
    <v>7</v>
    <v>1</v>
    <v>0</v>
    <v>0</v>
    <v>ForbiddenCurseScroll</v>
  </rv>
  <rv s="2">
    <v>53</v>
    <v>1</v>
    <v>0</v>
    <v>0</v>
    <v>SealedScroll</v>
  </rv>
  <rv s="2">
    <v>54</v>
    <v>1</v>
    <v>0</v>
    <v>0</v>
    <v>DiviningScroll</v>
  </rv>
  <rv s="2">
    <v>55</v>
    <v>1</v>
    <v>0</v>
    <v>0</v>
    <v>TeachingsofFreedom</v>
  </rv>
  <rv s="2">
    <v>8</v>
    <v>1</v>
    <v>0</v>
    <v>0</v>
    <v>Cecilia</v>
  </rv>
  <rv s="2">
    <v>56</v>
    <v>1</v>
    <v>0</v>
    <v>0</v>
    <v>BrilliantDiamondFragment</v>
  </rv>
  <rv s="2">
    <v>57</v>
    <v>1</v>
    <v>0</v>
    <v>0</v>
    <v>DreamSolvent</v>
  </rv>
  <rv s="2">
    <v>58</v>
    <v>1</v>
    <v>0</v>
    <v>0</v>
    <v>polearm</v>
  </rv>
  <rv s="2">
    <v>59</v>
    <v>1</v>
    <v>0</v>
    <v>0</v>
    <v>electro</v>
  </rv>
  <rv s="2">
    <v>60</v>
    <v>1</v>
    <v>0</v>
    <v>0</v>
    <v>AlleyHunter</v>
  </rv>
  <rv s="2">
    <v>61</v>
    <v>1</v>
    <v>0</v>
    <v>0</v>
    <v>FragmentofDecarabiansEpic</v>
  </rv>
  <rv s="2">
    <v>62</v>
    <v>1</v>
    <v>0</v>
    <v>0</v>
    <v>EnhancementOre</v>
  </rv>
  <rv s="2">
    <v>63</v>
    <v>1</v>
    <v>0</v>
    <v>0</v>
    <v>Chiori</v>
  </rv>
  <rv s="2">
    <v>64</v>
    <v>4</v>
    <v>0</v>
    <v>0</v>
    <v>ArtificedSpareClockworkComponentCoppelia</v>
  </rv>
  <rv s="2">
    <v>65</v>
    <v>4</v>
    <v>0</v>
    <v>0</v>
    <v>LightlessSilkString</v>
  </rv>
  <rv s="2">
    <v>66</v>
    <v>4</v>
    <v>0</v>
    <v>0</v>
    <v>PhilosophiesofLight</v>
  </rv>
  <rv s="2">
    <v>67</v>
    <v>4</v>
    <v>0</v>
    <v>0</v>
    <v>SpectralNucleus</v>
  </rv>
  <rv s="2">
    <v>68</v>
    <v>4</v>
    <v>0</v>
    <v>0</v>
    <v>HennaBerry</v>
  </rv>
  <rv s="2">
    <v>46</v>
    <v>1</v>
    <v>0</v>
    <v>0</v>
    <v>EverflameSeed</v>
  </rv>
  <rv s="2">
    <v>69</v>
    <v>1</v>
    <v>0</v>
    <v>0</v>
    <v>TailofBoreas</v>
  </rv>
  <rv s="2">
    <v>70</v>
    <v>1</v>
    <v>0</v>
    <v>0</v>
    <v>WeatheredArrowhead</v>
  </rv>
  <rv s="2">
    <v>71</v>
    <v>1</v>
    <v>0</v>
    <v>0</v>
    <v>SharpArrowhead</v>
  </rv>
  <rv s="2">
    <v>72</v>
    <v>1</v>
    <v>0</v>
    <v>0</v>
    <v>FirmArrowhead</v>
  </rv>
  <rv s="2">
    <v>47</v>
    <v>1</v>
    <v>0</v>
    <v>0</v>
    <v>PhilosophiesofResistance</v>
  </rv>
  <rv s="2">
    <v>49</v>
    <v>1</v>
    <v>0</v>
    <v>0</v>
    <v>WindwheelAster</v>
  </rv>
  <rv s="2">
    <v>73</v>
    <v>1</v>
    <v>0</v>
    <v>0</v>
    <v>BrilliantDiamondSilver</v>
  </rv>
  <rv s="2">
    <v>74</v>
    <v>1</v>
    <v>0</v>
    <v>0</v>
    <v>resin</v>
  </rv>
  <rv s="2">
    <v>75</v>
    <v>1</v>
    <v>0</v>
    <v>0</v>
    <v>bow</v>
  </rv>
  <rv s="2">
    <v>24</v>
    <v>1</v>
    <v>0</v>
    <v>0</v>
    <v>dendro</v>
  </rv>
  <rv s="2">
    <v>76</v>
    <v>1</v>
    <v>0</v>
    <v>0</v>
    <v>AmenomaKageuchi</v>
  </rv>
  <rv s="2">
    <v>77</v>
    <v>1</v>
    <v>0</v>
    <v>0</v>
    <v>ScatteredPieceofDecarabiansDream</v>
  </rv>
  <rv s="2">
    <v>78</v>
    <v>1</v>
    <v>0</v>
    <v>0</v>
    <v>Clorinde</v>
  </rv>
  <rv s="2">
    <v>59</v>
    <v>4</v>
    <v>0</v>
    <v>0</v>
    <v>electro</v>
  </rv>
  <rv s="2">
    <v>79</v>
    <v>4</v>
    <v>0</v>
    <v>0</v>
    <v>FontemerUnihorn</v>
  </rv>
  <rv s="2">
    <v>80</v>
    <v>4</v>
    <v>0</v>
    <v>0</v>
    <v>Everamber</v>
  </rv>
  <rv s="2">
    <v>81</v>
    <v>4</v>
    <v>0</v>
    <v>0</v>
    <v>PhilosophiesofJustice</v>
  </rv>
  <rv s="2">
    <v>82</v>
    <v>4</v>
    <v>0</v>
    <v>0</v>
    <v>XenochromaticCrystal</v>
  </rv>
  <rv s="2">
    <v>83</v>
    <v>4</v>
    <v>0</v>
    <v>0</v>
    <v>Lumitoile</v>
  </rv>
  <rv s="2">
    <v>84</v>
    <v>4</v>
    <v>0</v>
    <v>0</v>
    <v>VajradaAmethystGemstone</v>
  </rv>
  <rv s="2">
    <v>85</v>
    <v>1</v>
    <v>0</v>
    <v>0</v>
    <v>CleansingHeart</v>
  </rv>
  <rv s="2">
    <v>86</v>
    <v>1</v>
    <v>0</v>
    <v>0</v>
    <v>RingofBoreas</v>
  </rv>
  <rv s="2">
    <v>87</v>
    <v>1</v>
    <v>0</v>
    <v>0</v>
    <v>LieutenantsInsignia</v>
  </rv>
  <rv s="2">
    <v>88</v>
    <v>1</v>
    <v>0</v>
    <v>0</v>
    <v>SergeantsInsignia</v>
  </rv>
  <rv s="2">
    <v>89</v>
    <v>1</v>
    <v>0</v>
    <v>0</v>
    <v>RecruitsInsignia</v>
  </rv>
  <rv s="2">
    <v>90</v>
    <v>1</v>
    <v>0</v>
    <v>0</v>
    <v>GuidetoResistance</v>
  </rv>
  <rv s="2">
    <v>91</v>
    <v>1</v>
    <v>0</v>
    <v>0</v>
    <v>PhilanemoMushroom</v>
  </rv>
  <rv s="2">
    <v>50</v>
    <v>1</v>
    <v>0</v>
    <v>0</v>
    <v>AgnidusAgateGemstone</v>
  </rv>
  <rv s="2">
    <v>92</v>
    <v>1</v>
    <v>0</v>
    <v>0</v>
    <v>characters</v>
  </rv>
  <rv s="2">
    <v>93</v>
    <v>1</v>
    <v>0</v>
    <v>0</v>
    <v>catalyst</v>
  </rv>
  <rv s="2">
    <v>94</v>
    <v>1</v>
    <v>0</v>
    <v>0</v>
    <v>hydro</v>
  </rv>
  <rv s="2">
    <v>95</v>
    <v>1</v>
    <v>0</v>
    <v>0</v>
    <v>AmosBow</v>
  </rv>
  <rv s="2">
    <v>96</v>
    <v>1</v>
    <v>0</v>
    <v>0</v>
    <v>BorealWolfsMilkTooth</v>
  </rv>
  <rv s="2">
    <v>97</v>
    <v>1</v>
    <v>0</v>
    <v>0</v>
    <v>Furina</v>
  </rv>
  <rv s="2">
    <v>94</v>
    <v>4</v>
    <v>0</v>
    <v>0</v>
    <v>hydro</v>
  </rv>
  <rv s="2">
    <v>98</v>
    <v>4</v>
    <v>0</v>
    <v>0</v>
    <v>WaterThatFailedToTranscend</v>
  </rv>
  <rv s="2">
    <v>99</v>
    <v>4</v>
    <v>0</v>
    <v>0</v>
    <v>LightlessMass</v>
  </rv>
  <rv s="2">
    <v>100</v>
    <v>4</v>
    <v>0</v>
    <v>0</v>
    <v>EnergyNectar</v>
  </rv>
  <rv s="2">
    <v>101</v>
    <v>4</v>
    <v>0</v>
    <v>0</v>
    <v>LakelightLily</v>
  </rv>
  <rv s="2">
    <v>102</v>
    <v>4</v>
    <v>0</v>
    <v>0</v>
    <v>VarunadaLazuriteGemstone</v>
  </rv>
  <rv s="2">
    <v>4</v>
    <v>1</v>
    <v>0</v>
    <v>0</v>
    <v>BasaltPillar</v>
  </rv>
  <rv s="2">
    <v>103</v>
    <v>1</v>
    <v>0</v>
    <v>0</v>
    <v>SpiritLocketofBoreas</v>
  </rv>
  <rv s="2">
    <v>48</v>
    <v>1</v>
    <v>0</v>
    <v>0</v>
    <v>GoldenRavenInsignia</v>
  </rv>
  <rv s="2">
    <v>104</v>
    <v>1</v>
    <v>0</v>
    <v>0</v>
    <v>SilverRavenInsignia</v>
  </rv>
  <rv s="2">
    <v>105</v>
    <v>1</v>
    <v>0</v>
    <v>0</v>
    <v>TreasureHoarderInsignia</v>
  </rv>
  <rv s="2">
    <v>106</v>
    <v>1</v>
    <v>0</v>
    <v>0</v>
    <v>TeachingsofResistance</v>
  </rv>
  <rv s="2">
    <v>107</v>
    <v>1</v>
    <v>0</v>
    <v>0</v>
    <v>SmallLampGrass</v>
  </rv>
  <rv s="2">
    <v>108</v>
    <v>1</v>
    <v>0</v>
    <v>0</v>
    <v>AgnidusAgateChunk</v>
  </rv>
  <rv s="2">
    <v>109</v>
    <v>1</v>
    <v>0</v>
    <v>0</v>
    <v>inventory</v>
  </rv>
  <rv s="2">
    <v>45</v>
    <v>1</v>
    <v>0</v>
    <v>0</v>
    <v>pyro</v>
  </rv>
  <rv s="2">
    <v>110</v>
    <v>1</v>
    <v>0</v>
    <v>0</v>
    <v>AquaSimulacra</v>
  </rv>
  <rv s="2">
    <v>111</v>
    <v>1</v>
    <v>0</v>
    <v>0</v>
    <v>BorealWolfsCrackedTooth</v>
  </rv>
  <rv s="2">
    <v>112</v>
    <v>1</v>
    <v>0</v>
    <v>0</v>
    <v>Jean</v>
  </rv>
  <rv s="2">
    <v>19</v>
    <v>4</v>
    <v>0</v>
    <v>0</v>
    <v>anemo</v>
  </rv>
  <rv s="2">
    <v>10</v>
    <v>4</v>
    <v>0</v>
    <v>0</v>
    <v>HurricaneSeed</v>
  </rv>
  <rv s="2">
    <v>33</v>
    <v>4</v>
    <v>0</v>
    <v>0</v>
    <v>OminousMask</v>
  </rv>
  <rv s="2">
    <v>113</v>
    <v>4</v>
    <v>0</v>
    <v>0</v>
    <v>DandelionSeed</v>
  </rv>
  <rv s="2">
    <v>114</v>
    <v>4</v>
    <v>0</v>
    <v>0</v>
    <v>VayudaTurquoiseGemstone</v>
  </rv>
  <rv s="2">
    <v>115</v>
    <v>1</v>
    <v>0</v>
    <v>0</v>
    <v>JuvenileJade</v>
  </rv>
  <rv s="2">
    <v>5</v>
    <v>1</v>
    <v>0</v>
    <v>0</v>
    <v>TuskofMonocerosCaeli</v>
  </rv>
  <rv s="2">
    <v>100</v>
    <v>1</v>
    <v>0</v>
    <v>0</v>
    <v>EnergyNectar</v>
  </rv>
  <rv s="2">
    <v>116</v>
    <v>1</v>
    <v>0</v>
    <v>0</v>
    <v>ShimmeringNectar</v>
  </rv>
  <rv s="2">
    <v>117</v>
    <v>1</v>
    <v>0</v>
    <v>0</v>
    <v>WhopperflowerNectar</v>
  </rv>
  <rv s="2">
    <v>6</v>
    <v>1</v>
    <v>0</v>
    <v>0</v>
    <v>PhilosophiesofBallad</v>
  </rv>
  <rv s="2">
    <v>118</v>
    <v>1</v>
    <v>0</v>
    <v>0</v>
    <v>CallaLily</v>
  </rv>
  <rv s="2">
    <v>119</v>
    <v>1</v>
    <v>0</v>
    <v>0</v>
    <v>AgnidusAgateFragment</v>
  </rv>
  <rv s="2">
    <v>120</v>
    <v>1</v>
    <v>0</v>
    <v>0</v>
    <v>options</v>
  </rv>
  <rv s="2">
    <v>121</v>
    <v>1</v>
    <v>0</v>
    <v>0</v>
    <v>cryo</v>
  </rv>
  <rv s="2">
    <v>122</v>
    <v>1</v>
    <v>0</v>
    <v>0</v>
    <v>AquilaFavonia</v>
  </rv>
  <rv s="2">
    <v>123</v>
    <v>1</v>
    <v>0</v>
    <v>0</v>
    <v>BorealWolfsBrokenFang</v>
  </rv>
  <rv s="2">
    <v>124</v>
    <v>1</v>
    <v>0</v>
    <v>0</v>
    <v>KaedeharaKazuha</v>
  </rv>
  <rv s="2">
    <v>125</v>
    <v>4</v>
    <v>0</v>
    <v>0</v>
    <v>MarionetteCore</v>
  </rv>
  <rv s="2">
    <v>126</v>
    <v>4</v>
    <v>0</v>
    <v>0</v>
    <v>GildedScale</v>
  </rv>
  <rv s="2">
    <v>127</v>
    <v>4</v>
    <v>0</v>
    <v>0</v>
    <v>PhilosophiesofDiligence</v>
  </rv>
  <rv s="2">
    <v>128</v>
    <v>4</v>
    <v>0</v>
    <v>0</v>
    <v>SeaGanoderma</v>
  </rv>
  <rv s="2">
    <v>129</v>
    <v>1</v>
    <v>0</v>
    <v>0</v>
    <v>CrystallineBloom</v>
  </rv>
  <rv s="2">
    <v>130</v>
    <v>1</v>
    <v>0</v>
    <v>0</v>
    <v>ShardofaFoulLegacy</v>
  </rv>
  <rv s="2">
    <v>131</v>
    <v>1</v>
    <v>0</v>
    <v>0</v>
    <v>FamedHandguard</v>
  </rv>
  <rv s="2">
    <v>132</v>
    <v>1</v>
    <v>0</v>
    <v>0</v>
    <v>KageuchiHandguard</v>
  </rv>
  <rv s="2">
    <v>133</v>
    <v>1</v>
    <v>0</v>
    <v>0</v>
    <v>OldHandguard</v>
  </rv>
  <rv s="2">
    <v>134</v>
    <v>1</v>
    <v>0</v>
    <v>0</v>
    <v>GuidetoBallad</v>
  </rv>
  <rv s="2">
    <v>113</v>
    <v>1</v>
    <v>0</v>
    <v>0</v>
    <v>DandelionSeed</v>
  </rv>
  <rv s="2">
    <v>135</v>
    <v>1</v>
    <v>0</v>
    <v>0</v>
    <v>AgnidusAgateSilver</v>
  </rv>
  <rv s="2">
    <v>136</v>
    <v>1</v>
    <v>0</v>
    <v>0</v>
    <v>weapons</v>
  </rv>
  <rv s="2">
    <v>137</v>
    <v>1</v>
    <v>0</v>
    <v>0</v>
    <v>AThousandFloatingDreams</v>
  </rv>
  <rv s="2">
    <v>138</v>
    <v>1</v>
    <v>0</v>
    <v>0</v>
    <v>BorealWolfsNostalgia</v>
  </rv>
  <rv s="2">
    <v>139</v>
    <v>1</v>
    <v>0</v>
    <v>0</v>
    <v>Kaeya</v>
  </rv>
  <rv s="2">
    <v>121</v>
    <v>4</v>
    <v>0</v>
    <v>0</v>
    <v>cryo</v>
  </rv>
  <rv s="2">
    <v>51</v>
    <v>4</v>
    <v>0</v>
    <v>0</v>
    <v>HoarfrostCore</v>
  </rv>
  <rv s="2">
    <v>103</v>
    <v>4</v>
    <v>0</v>
    <v>0</v>
    <v>SpiritLocketofBoreas</v>
  </rv>
  <rv s="2">
    <v>118</v>
    <v>4</v>
    <v>0</v>
    <v>0</v>
    <v>CallaLily</v>
  </rv>
  <rv s="2">
    <v>140</v>
    <v>4</v>
    <v>0</v>
    <v>0</v>
    <v>ShivadaJadeGemstone</v>
  </rv>
  <rv s="2">
    <v>125</v>
    <v>1</v>
    <v>0</v>
    <v>0</v>
    <v>MarionetteCore</v>
  </rv>
  <rv s="2">
    <v>141</v>
    <v>1</v>
    <v>0</v>
    <v>0</v>
    <v>ShadowoftheWarrior</v>
  </rv>
  <rv s="2">
    <v>67</v>
    <v>1</v>
    <v>0</v>
    <v>0</v>
    <v>SpectralNucleus</v>
  </rv>
  <rv s="2">
    <v>142</v>
    <v>1</v>
    <v>0</v>
    <v>0</v>
    <v>SpectralHeart</v>
  </rv>
  <rv s="2">
    <v>143</v>
    <v>1</v>
    <v>0</v>
    <v>0</v>
    <v>SpectralHusk</v>
  </rv>
  <rv s="2">
    <v>144</v>
    <v>1</v>
    <v>0</v>
    <v>0</v>
    <v>TeachingsofBallad</v>
  </rv>
  <rv s="2">
    <v>145</v>
    <v>1</v>
    <v>0</v>
    <v>0</v>
    <v>JueyunChili</v>
  </rv>
  <rv s="2">
    <v>102</v>
    <v>1</v>
    <v>0</v>
    <v>0</v>
    <v>VarunadaLazuriteGemstone</v>
  </rv>
  <rv s="2">
    <v>146</v>
    <v>1</v>
    <v>0</v>
    <v>0</v>
    <v>BalladoftheBoundlessBlue</v>
  </rv>
  <rv s="2">
    <v>147</v>
    <v>1</v>
    <v>0</v>
    <v>0</v>
    <v>FettersoftheDandelionGladiator</v>
  </rv>
  <rv s="2">
    <v>148</v>
    <v>1</v>
    <v>0</v>
    <v>0</v>
    <v>KamisatoAyaka</v>
  </rv>
  <rv s="2">
    <v>149</v>
    <v>4</v>
    <v>0</v>
    <v>0</v>
    <v>PerpetualHeart</v>
  </rv>
  <rv s="2">
    <v>150</v>
    <v>4</v>
    <v>0</v>
    <v>0</v>
    <v>BloodjadeBranch</v>
  </rv>
  <rv s="2">
    <v>151</v>
    <v>4</v>
    <v>0</v>
    <v>0</v>
    <v>PhilosophiesofElegance</v>
  </rv>
  <rv s="2">
    <v>131</v>
    <v>4</v>
    <v>0</v>
    <v>0</v>
    <v>FamedHandguard</v>
  </rv>
  <rv s="2">
    <v>152</v>
    <v>4</v>
    <v>0</v>
    <v>0</v>
    <v>SakuraBloom</v>
  </rv>
  <rv s="2">
    <v>149</v>
    <v>1</v>
    <v>0</v>
    <v>0</v>
    <v>PerpetualHeart</v>
  </rv>
  <rv s="2">
    <v>153</v>
    <v>1</v>
    <v>0</v>
    <v>0</v>
    <v>DragonLordsCrown</v>
  </rv>
  <rv s="2">
    <v>154</v>
    <v>1</v>
    <v>0</v>
    <v>0</v>
    <v>CrystallineCystDust</v>
  </rv>
  <rv s="2">
    <v>155</v>
    <v>1</v>
    <v>0</v>
    <v>0</v>
    <v>LuminescentPollen</v>
  </rv>
  <rv s="2">
    <v>156</v>
    <v>1</v>
    <v>0</v>
    <v>0</v>
    <v>FungalSpores</v>
  </rv>
  <rv s="2">
    <v>157</v>
    <v>1</v>
    <v>0</v>
    <v>0</v>
    <v>PhilosophiesofProsperity</v>
  </rv>
  <rv s="2">
    <v>158</v>
    <v>1</v>
    <v>0</v>
    <v>0</v>
    <v>NoctilucousJade</v>
  </rv>
  <rv s="2">
    <v>159</v>
    <v>1</v>
    <v>0</v>
    <v>0</v>
    <v>VarunadaLazuriteChunk</v>
  </rv>
  <rv s="2">
    <v>160</v>
    <v>1</v>
    <v>0</v>
    <v>0</v>
    <v>BalladoftheFjords</v>
  </rv>
  <rv s="2">
    <v>161</v>
    <v>1</v>
    <v>0</v>
    <v>0</v>
    <v>ChainsoftheDandelionGladiator</v>
  </rv>
  <rv s="2">
    <v>162</v>
    <v>1</v>
    <v>0</v>
    <v>0</v>
    <v>KamisatoAyato</v>
  </rv>
  <rv s="2">
    <v>163</v>
    <v>4</v>
    <v>0</v>
    <v>0</v>
    <v>DewofRepudiation</v>
  </rv>
  <rv s="2">
    <v>164</v>
    <v>4</v>
    <v>0</v>
    <v>0</v>
    <v>MudraoftheMaleficGeneral</v>
  </rv>
  <rv s="2">
    <v>165</v>
    <v>1</v>
    <v>0</v>
    <v>0</v>
    <v>SmolderingPearl</v>
  </rv>
  <rv s="2">
    <v>150</v>
    <v>1</v>
    <v>0</v>
    <v>0</v>
    <v>BloodjadeBranch</v>
  </rv>
  <rv s="2">
    <v>28</v>
    <v>1</v>
    <v>0</v>
    <v>0</v>
    <v>RichRedBrocade</v>
  </rv>
  <rv s="2">
    <v>166</v>
    <v>1</v>
    <v>0</v>
    <v>0</v>
    <v>TrimmedRedSilk</v>
  </rv>
  <rv s="2">
    <v>167</v>
    <v>1</v>
    <v>0</v>
    <v>0</v>
    <v>FadedRedSatin</v>
  </rv>
  <rv s="2">
    <v>168</v>
    <v>1</v>
    <v>0</v>
    <v>0</v>
    <v>GuidetoProsperity</v>
  </rv>
  <rv s="2">
    <v>169</v>
    <v>1</v>
    <v>0</v>
    <v>0</v>
    <v>SilkFlower</v>
  </rv>
  <rv s="2">
    <v>170</v>
    <v>1</v>
    <v>0</v>
    <v>0</v>
    <v>VarunadaLazuriteFragment</v>
  </rv>
  <rv s="2">
    <v>171</v>
    <v>1</v>
    <v>0</v>
    <v>0</v>
    <v>BeaconoftheReedSea</v>
  </rv>
  <rv s="2">
    <v>172</v>
    <v>1</v>
    <v>0</v>
    <v>0</v>
    <v>ShacklesoftheDandelionGladiator</v>
  </rv>
  <rv s="2">
    <v>173</v>
    <v>1</v>
    <v>0</v>
    <v>0</v>
    <v>Keqing</v>
  </rv>
  <rv s="2">
    <v>31</v>
    <v>4</v>
    <v>0</v>
    <v>0</v>
    <v>LightningPrism</v>
  </rv>
  <rv s="2">
    <v>86</v>
    <v>4</v>
    <v>0</v>
    <v>0</v>
    <v>RingofBoreas</v>
  </rv>
  <rv s="2">
    <v>157</v>
    <v>4</v>
    <v>0</v>
    <v>0</v>
    <v>PhilosophiesofProsperity</v>
  </rv>
  <rv s="2">
    <v>174</v>
    <v>4</v>
    <v>0</v>
    <v>0</v>
    <v>CorLapis</v>
  </rv>
  <rv s="2">
    <v>163</v>
    <v>1</v>
    <v>0</v>
    <v>0</v>
    <v>DewofRepudiation</v>
  </rv>
  <rv s="2">
    <v>126</v>
    <v>1</v>
    <v>0</v>
    <v>0</v>
    <v>GildedScale</v>
  </rv>
  <rv s="2">
    <v>82</v>
    <v>1</v>
    <v>0</v>
    <v>0</v>
    <v>XenochromaticCrystal</v>
  </rv>
  <rv s="2">
    <v>175</v>
    <v>1</v>
    <v>0</v>
    <v>0</v>
    <v>TransoceanicChunk</v>
  </rv>
  <rv s="2">
    <v>176</v>
    <v>1</v>
    <v>0</v>
    <v>0</v>
    <v>TransoceanicPearl</v>
  </rv>
  <rv s="2">
    <v>177</v>
    <v>1</v>
    <v>0</v>
    <v>0</v>
    <v>TeachingsofProsperity</v>
  </rv>
  <rv s="2">
    <v>178</v>
    <v>1</v>
    <v>0</v>
    <v>0</v>
    <v>GlazeLily</v>
  </rv>
  <rv s="2">
    <v>179</v>
    <v>1</v>
    <v>0</v>
    <v>0</v>
    <v>VarunadaLazuriteSilver</v>
  </rv>
  <rv s="2">
    <v>180</v>
    <v>1</v>
    <v>0</v>
    <v>0</v>
    <v>BlackcliffAgate</v>
  </rv>
  <rv s="2">
    <v>181</v>
    <v>1</v>
    <v>0</v>
    <v>0</v>
    <v>DreamoftheDandelionGladiator</v>
  </rv>
  <rv s="2">
    <v>182</v>
    <v>1</v>
    <v>0</v>
    <v>0</v>
    <v>Kirara</v>
  </rv>
  <rv s="2">
    <v>183</v>
    <v>4</v>
    <v>0</v>
    <v>0</v>
    <v>EvergloomRing</v>
  </rv>
  <rv s="2">
    <v>184</v>
    <v>4</v>
    <v>0</v>
    <v>0</v>
    <v>PhilosophiesofTransience</v>
  </rv>
  <rv s="2">
    <v>185</v>
    <v>4</v>
    <v>0</v>
    <v>0</v>
    <v>AmakumoFruit</v>
  </rv>
  <rv s="2">
    <v>186</v>
    <v>1</v>
    <v>0</v>
    <v>0</v>
    <v>StormBeads</v>
  </rv>
  <rv s="2">
    <v>187</v>
    <v>1</v>
    <v>0</v>
    <v>0</v>
    <v>MoltenMoment</v>
  </rv>
  <rv s="2">
    <v>188</v>
    <v>1</v>
    <v>0</v>
    <v>0</v>
    <v>ArtificedDynamicGear</v>
  </rv>
  <rv s="2">
    <v>189</v>
    <v>1</v>
    <v>0</v>
    <v>0</v>
    <v>MechanicalSpurGear</v>
  </rv>
  <rv s="2">
    <v>190</v>
    <v>1</v>
    <v>0</v>
    <v>0</v>
    <v>MeshingGear</v>
  </rv>
  <rv s="2">
    <v>127</v>
    <v>1</v>
    <v>0</v>
    <v>0</v>
    <v>PhilosophiesofDiligence</v>
  </rv>
  <rv s="2">
    <v>191</v>
    <v>1</v>
    <v>0</v>
    <v>0</v>
    <v>Qingxin</v>
  </rv>
  <rv s="2">
    <v>30</v>
    <v>1</v>
    <v>0</v>
    <v>0</v>
    <v>NagadusEmeraldGemstone</v>
  </rv>
  <rv s="2">
    <v>192</v>
    <v>1</v>
    <v>0</v>
    <v>0</v>
    <v>BlackcliffLongsword</v>
  </rv>
  <rv s="2">
    <v>193</v>
    <v>1</v>
    <v>0</v>
    <v>0</v>
    <v>LuminousSandsfromGuyun</v>
  </rv>
  <rv s="2">
    <v>194</v>
    <v>1</v>
    <v>0</v>
    <v>0</v>
    <v>KukiShinobu</v>
  </rv>
  <rv s="2">
    <v>195</v>
    <v>4</v>
    <v>0</v>
    <v>0</v>
    <v>RunicFang</v>
  </rv>
  <rv s="2">
    <v>196</v>
    <v>4</v>
    <v>0</v>
    <v>0</v>
    <v>TearsoftheCalamitousGod</v>
  </rv>
  <rv s="2">
    <v>197</v>
    <v>4</v>
    <v>0</v>
    <v>0</v>
    <v>NakuWeed</v>
  </rv>
  <rv s="2">
    <v>198</v>
    <v>1</v>
    <v>0</v>
    <v>0</v>
    <v>RiftbornRegalia</v>
  </rv>
  <rv s="2">
    <v>199</v>
    <v>1</v>
    <v>0</v>
    <v>0</v>
    <v>HellfireButterfly</v>
  </rv>
  <rv s="2">
    <v>200</v>
    <v>1</v>
    <v>0</v>
    <v>0</v>
    <v>GuidetoDiligence</v>
  </rv>
  <rv s="2">
    <v>201</v>
    <v>1</v>
    <v>0</v>
    <v>0</v>
    <v>Starconch</v>
  </rv>
  <rv s="2">
    <v>202</v>
    <v>1</v>
    <v>0</v>
    <v>0</v>
    <v>NagadusEmeraldChunk</v>
  </rv>
  <rv s="2">
    <v>203</v>
    <v>1</v>
    <v>0</v>
    <v>0</v>
    <v>BlackcliffPole</v>
  </rv>
  <rv s="2">
    <v>204</v>
    <v>1</v>
    <v>0</v>
    <v>0</v>
    <v>LustrousStonefromGuyun</v>
  </rv>
  <rv s="2">
    <v>205</v>
    <v>1</v>
    <v>0</v>
    <v>0</v>
    <v>Layla</v>
  </rv>
  <rv s="2">
    <v>206</v>
    <v>4</v>
    <v>0</v>
    <v>0</v>
    <v>PerpetualCaliber</v>
  </rv>
  <rv s="2">
    <v>207</v>
    <v>4</v>
    <v>0</v>
    <v>0</v>
    <v>NilotpalaLotus</v>
  </rv>
  <rv s="2">
    <v>208</v>
    <v>1</v>
    <v>0</v>
    <v>0</v>
    <v>DragonheirsFalseFin</v>
  </rv>
  <rv s="2">
    <v>209</v>
    <v>1</v>
    <v>0</v>
    <v>0</v>
    <v>AshenHeart</v>
  </rv>
  <rv s="2">
    <v>210</v>
    <v>1</v>
    <v>0</v>
    <v>0</v>
    <v>TeachingsofDiligence</v>
  </rv>
  <rv s="2">
    <v>211</v>
    <v>1</v>
    <v>0</v>
    <v>0</v>
    <v>Violetgrass</v>
  </rv>
  <rv s="2">
    <v>212</v>
    <v>1</v>
    <v>0</v>
    <v>0</v>
    <v>NagadusEmeraldFragment</v>
  </rv>
  <rv s="2">
    <v>213</v>
    <v>1</v>
    <v>0</v>
    <v>0</v>
    <v>BlackcliffSlasher</v>
  </rv>
  <rv s="2">
    <v>214</v>
    <v>1</v>
    <v>0</v>
    <v>0</v>
    <v>RelicfromGuyun</v>
  </rv>
  <rv s="2">
    <v>215</v>
    <v>1</v>
    <v>0</v>
    <v>0</v>
    <v>Lynette</v>
  </rv>
  <rv s="2">
    <v>216</v>
    <v>4</v>
    <v>0</v>
    <v>0</v>
    <v>PhilosophiesofOrder</v>
  </rv>
  <rv s="2">
    <v>188</v>
    <v>4</v>
    <v>0</v>
    <v>0</v>
    <v>ArtificedDynamicGear</v>
  </rv>
  <rv s="2">
    <v>217</v>
    <v>4</v>
    <v>0</v>
    <v>0</v>
    <v>LumidouceBell</v>
  </rv>
  <rv s="2">
    <v>195</v>
    <v>1</v>
    <v>0</v>
    <v>0</v>
    <v>RunicFang</v>
  </rv>
  <rv s="2">
    <v>164</v>
    <v>1</v>
    <v>0</v>
    <v>0</v>
    <v>MudraoftheMaleficGeneral</v>
  </rv>
  <rv s="2">
    <v>218</v>
    <v>1</v>
    <v>0</v>
    <v>0</v>
    <v>PhilosophiesofGold</v>
  </rv>
  <rv s="2">
    <v>174</v>
    <v>1</v>
    <v>0</v>
    <v>0</v>
    <v>CorLapis</v>
  </rv>
  <rv s="2">
    <v>219</v>
    <v>1</v>
    <v>0</v>
    <v>0</v>
    <v>NagadusEmeraldSilver</v>
  </rv>
  <rv s="2">
    <v>220</v>
    <v>1</v>
    <v>0</v>
    <v>0</v>
    <v>BlackcliffWarbow</v>
  </rv>
  <rv s="2">
    <v>221</v>
    <v>1</v>
    <v>0</v>
    <v>0</v>
    <v>DivineBodyfromGuyun</v>
  </rv>
  <rv s="2">
    <v>222</v>
    <v>1</v>
    <v>0</v>
    <v>0</v>
    <v>Nilou</v>
  </rv>
  <rv s="2">
    <v>223</v>
    <v>4</v>
    <v>0</v>
    <v>0</v>
    <v>PhilosophiesofPraxis</v>
  </rv>
  <rv s="2">
    <v>154</v>
    <v>4</v>
    <v>0</v>
    <v>0</v>
    <v>CrystallineCystDust</v>
  </rv>
  <rv s="2">
    <v>224</v>
    <v>4</v>
    <v>0</v>
    <v>0</v>
    <v>Padisarah</v>
  </rv>
  <rv s="2">
    <v>225</v>
    <v>1</v>
    <v>0</v>
    <v>0</v>
    <v>MajesticHookedBeak</v>
  </rv>
  <rv s="2">
    <v>196</v>
    <v>1</v>
    <v>0</v>
    <v>0</v>
    <v>TearsoftheCalamitousGod</v>
  </rv>
  <rv s="2">
    <v>226</v>
    <v>1</v>
    <v>0</v>
    <v>0</v>
    <v>GuidetoGold</v>
  </rv>
  <rv s="2">
    <v>227</v>
    <v>1</v>
    <v>0</v>
    <v>0</v>
    <v>ClearwaterJade</v>
  </rv>
  <rv s="2">
    <v>84</v>
    <v>1</v>
    <v>0</v>
    <v>0</v>
    <v>VajradaAmethystGemstone</v>
  </rv>
  <rv s="2">
    <v>228</v>
    <v>1</v>
    <v>0</v>
    <v>0</v>
    <v>BlackTassel</v>
  </rv>
  <rv s="2">
    <v>229</v>
    <v>1</v>
    <v>0</v>
    <v>0</v>
    <v>MistVeiledLeadElixir</v>
  </rv>
  <rv s="2">
    <v>230</v>
    <v>1</v>
    <v>0</v>
    <v>0</v>
    <v>Qiqi</v>
  </rv>
  <rv s="2">
    <v>69</v>
    <v>4</v>
    <v>0</v>
    <v>0</v>
    <v>TailofBoreas</v>
  </rv>
  <rv s="2">
    <v>211</v>
    <v>4</v>
    <v>0</v>
    <v>0</v>
    <v>Violetgrass</v>
  </rv>
  <rv s="2">
    <v>231</v>
    <v>1</v>
    <v>0</v>
    <v>0</v>
    <v>ThunderclapFruitcore</v>
  </rv>
  <rv s="2">
    <v>232</v>
    <v>1</v>
    <v>0</v>
    <v>0</v>
    <v>TheMeaningofAeons</v>
  </rv>
  <rv s="2">
    <v>233</v>
    <v>1</v>
    <v>0</v>
    <v>0</v>
    <v>TeachingsofGold</v>
  </rv>
  <rv s="2">
    <v>234</v>
    <v>1</v>
    <v>0</v>
    <v>0</v>
    <v>Onikabuto</v>
  </rv>
  <rv s="2">
    <v>235</v>
    <v>1</v>
    <v>0</v>
    <v>0</v>
    <v>VajradaAmethystChunk</v>
  </rv>
  <rv s="2">
    <v>236</v>
    <v>1</v>
    <v>0</v>
    <v>0</v>
    <v>BloodtaintedGreatsword</v>
  </rv>
  <rv s="2">
    <v>237</v>
    <v>1</v>
    <v>0</v>
    <v>0</v>
    <v>MistVeiledMercuryElixir</v>
  </rv>
  <rv s="2">
    <v>238</v>
    <v>1</v>
    <v>0</v>
    <v>0</v>
    <v>TravelerAnemo</v>
  </rv>
  <rv s="2">
    <v>52</v>
    <v>4</v>
    <v>0</v>
    <v>0</v>
    <v>DvalinsSigh</v>
  </rv>
  <rv s="2">
    <v>17</v>
    <v>4</v>
    <v>0</v>
    <v>0</v>
    <v>BrilliantDiamondGemstone</v>
  </rv>
  <rv s="2">
    <v>206</v>
    <v>1</v>
    <v>0</v>
    <v>0</v>
    <v>PerpetualCaliber</v>
  </rv>
  <rv s="2">
    <v>239</v>
    <v>1</v>
    <v>0</v>
    <v>0</v>
    <v>PuppetStrings</v>
  </rv>
  <rv s="2">
    <v>184</v>
    <v>1</v>
    <v>0</v>
    <v>0</v>
    <v>PhilosophiesofTransience</v>
  </rv>
  <rv s="2">
    <v>152</v>
    <v>1</v>
    <v>0</v>
    <v>0</v>
    <v>SakuraBloom</v>
  </rv>
  <rv s="2">
    <v>240</v>
    <v>1</v>
    <v>0</v>
    <v>0</v>
    <v>VajradaAmethystFragment</v>
  </rv>
  <rv s="2">
    <v>241</v>
    <v>1</v>
    <v>0</v>
    <v>0</v>
    <v>CalamityQueller</v>
  </rv>
  <rv s="2">
    <v>242</v>
    <v>1</v>
    <v>0</v>
    <v>0</v>
    <v>MistVeiledGoldElixir</v>
  </rv>
  <rv s="2">
    <v>243</v>
    <v>1</v>
    <v>0</v>
    <v>0</v>
    <v>TravelerGeo</v>
  </rv>
  <rv s="2">
    <v>70</v>
    <v>4</v>
    <v>0</v>
    <v>0</v>
    <v>WeatheredArrowhead</v>
  </rv>
  <rv s="2">
    <v>244</v>
    <v>1</v>
    <v>0</v>
    <v>0</v>
    <v>LightGuidingTetrahedron</v>
  </rv>
  <rv s="2">
    <v>26</v>
    <v>1</v>
    <v>0</v>
    <v>0</v>
    <v>MirrorofMushin</v>
  </rv>
  <rv s="2">
    <v>245</v>
    <v>1</v>
    <v>0</v>
    <v>0</v>
    <v>GuidetoTransience</v>
  </rv>
  <rv s="2">
    <v>246</v>
    <v>1</v>
    <v>0</v>
    <v>0</v>
    <v>CrystalMarrow</v>
  </rv>
  <rv s="2">
    <v>247</v>
    <v>1</v>
    <v>0</v>
    <v>0</v>
    <v>VajradaAmethystSilver</v>
  </rv>
  <rv s="2">
    <v>248</v>
    <v>1</v>
    <v>0</v>
    <v>0</v>
    <v>CashflowSupervision</v>
  </rv>
  <rv s="2">
    <v>249</v>
    <v>1</v>
    <v>0</v>
    <v>0</v>
    <v>MistVeiledPrimoElixir</v>
  </rv>
  <rv s="2">
    <v>250</v>
    <v>1</v>
    <v>0</v>
    <v>0</v>
    <v>TravelerElectro</v>
  </rv>
  <rv s="2">
    <v>153</v>
    <v>4</v>
    <v>0</v>
    <v>0</v>
    <v>DragonLordsCrown</v>
  </rv>
  <rv s="2">
    <v>251</v>
    <v>1</v>
    <v>0</v>
    <v>0</v>
    <v>QuelledCreeper</v>
  </rv>
  <rv s="2">
    <v>252</v>
    <v>1</v>
    <v>0</v>
    <v>0</v>
    <v>DakasBell</v>
  </rv>
  <rv s="2">
    <v>253</v>
    <v>1</v>
    <v>0</v>
    <v>0</v>
    <v>TeachingsofTransience</v>
  </rv>
  <rv s="2">
    <v>254</v>
    <v>1</v>
    <v>0</v>
    <v>0</v>
    <v>Dendrobium</v>
  </rv>
  <rv s="2">
    <v>114</v>
    <v>1</v>
    <v>0</v>
    <v>0</v>
    <v>VayudaTurquoiseGemstone</v>
  </rv>
  <rv s="2">
    <v>255</v>
    <v>1</v>
    <v>0</v>
    <v>0</v>
    <v>CinnabarSpindle</v>
  </rv>
  <rv s="2">
    <v>256</v>
    <v>1</v>
    <v>0</v>
    <v>0</v>
    <v>GrainofAerosiderite</v>
  </rv>
  <rv s="2">
    <v>257</v>
    <v>1</v>
    <v>0</v>
    <v>0</v>
    <v>TravelerDendro</v>
  </rv>
  <rv s="2">
    <v>25</v>
    <v>1</v>
    <v>0</v>
    <v>0</v>
    <v>PseudoStamens</v>
  </rv>
  <rv s="2">
    <v>258</v>
    <v>1</v>
    <v>0</v>
    <v>0</v>
    <v>WorldspanFern</v>
  </rv>
  <rv s="2">
    <v>151</v>
    <v>1</v>
    <v>0</v>
    <v>0</v>
    <v>PhilosophiesofElegance</v>
  </rv>
  <rv s="2">
    <v>197</v>
    <v>1</v>
    <v>0</v>
    <v>0</v>
    <v>NakuWeed</v>
  </rv>
  <rv s="2">
    <v>259</v>
    <v>1</v>
    <v>0</v>
    <v>0</v>
    <v>VayudaTurquoiseChunk</v>
  </rv>
  <rv s="2">
    <v>260</v>
    <v>1</v>
    <v>0</v>
    <v>0</v>
    <v>Cloudforged</v>
  </rv>
  <rv s="2">
    <v>261</v>
    <v>1</v>
    <v>0</v>
    <v>0</v>
    <v>PieceofAerosiderite</v>
  </rv>
  <rv s="2">
    <v>262</v>
    <v>1</v>
    <v>0</v>
    <v>0</v>
    <v>TravelerHydro</v>
  </rv>
  <rv s="2">
    <v>258</v>
    <v>4</v>
    <v>0</v>
    <v>0</v>
    <v>WorldspanFern</v>
  </rv>
  <rv s="2">
    <v>183</v>
    <v>1</v>
    <v>0</v>
    <v>0</v>
    <v>EvergloomRing</v>
  </rv>
  <rv s="2">
    <v>263</v>
    <v>1</v>
    <v>0</v>
    <v>0</v>
    <v>PrimordialGreenbloom</v>
  </rv>
  <rv s="2">
    <v>264</v>
    <v>1</v>
    <v>0</v>
    <v>0</v>
    <v>GuidetoElegance</v>
  </rv>
  <rv s="2">
    <v>128</v>
    <v>1</v>
    <v>0</v>
    <v>0</v>
    <v>SeaGanoderma</v>
  </rv>
  <rv s="2">
    <v>265</v>
    <v>1</v>
    <v>0</v>
    <v>0</v>
    <v>VayudaTurquoiseFragment</v>
  </rv>
  <rv s="2">
    <v>266</v>
    <v>1</v>
    <v>0</v>
    <v>0</v>
    <v>CompoundBow</v>
  </rv>
  <rv s="2">
    <v>267</v>
    <v>1</v>
    <v>0</v>
    <v>0</v>
    <v>BitofAerosiderite</v>
  </rv>
  <rv s="2">
    <v>268</v>
    <v>1</v>
    <v>0</v>
    <v>0</v>
    <v>Xingqiu</v>
  </rv>
  <rv s="2">
    <v>85</v>
    <v>4</v>
    <v>0</v>
    <v>0</v>
    <v>CleansingHeart</v>
  </rv>
  <rv s="2">
    <v>218</v>
    <v>4</v>
    <v>0</v>
    <v>0</v>
    <v>PhilosophiesofGold</v>
  </rv>
  <rv s="2">
    <v>169</v>
    <v>4</v>
    <v>0</v>
    <v>0</v>
    <v>SilkFlower</v>
  </rv>
  <rv s="2">
    <v>64</v>
    <v>1</v>
    <v>0</v>
    <v>0</v>
    <v>ArtificedSpareClockworkComponentCoppelia</v>
  </rv>
  <rv s="2">
    <v>80</v>
    <v>1</v>
    <v>0</v>
    <v>0</v>
    <v>Everamber</v>
  </rv>
  <rv s="2">
    <v>269</v>
    <v>1</v>
    <v>0</v>
    <v>0</v>
    <v>TeachingsofElegance</v>
  </rv>
  <rv s="2">
    <v>270</v>
    <v>1</v>
    <v>0</v>
    <v>0</v>
    <v>SangoPearl</v>
  </rv>
  <rv s="2">
    <v>271</v>
    <v>1</v>
    <v>0</v>
    <v>0</v>
    <v>VayudaTurquoiseSilver</v>
  </rv>
  <rv s="2">
    <v>272</v>
    <v>1</v>
    <v>0</v>
    <v>0</v>
    <v>CoolSteel</v>
  </rv>
  <rv s="2">
    <v>273</v>
    <v>1</v>
    <v>0</v>
    <v>0</v>
    <v>ChunkofAerosiderite</v>
  </rv>
  <rv s="2">
    <v>274</v>
    <v>1</v>
    <v>0</v>
    <v>0</v>
    <v>Aloy</v>
  </rv>
  <rv s="2">
    <v>75</v>
    <v>4</v>
    <v>0</v>
    <v>0</v>
    <v>bow</v>
  </rv>
  <rv s="2">
    <v>129</v>
    <v>4</v>
    <v>0</v>
    <v>0</v>
    <v>CrystallineBloom</v>
  </rv>
  <rv s="2">
    <v>187</v>
    <v>4</v>
    <v>0</v>
    <v>0</v>
    <v>MoltenMoment</v>
  </rv>
  <rv s="2">
    <v>15</v>
    <v>4</v>
    <v>0</v>
    <v>0</v>
    <v>PhilosophiesofFreedom</v>
  </rv>
  <rv s="2">
    <v>246</v>
    <v>4</v>
    <v>0</v>
    <v>0</v>
    <v>CrystalMarrow</v>
  </rv>
  <rv s="2">
    <v>275</v>
    <v>1</v>
    <v>0</v>
    <v>0</v>
    <v>ArtificedSpareClockworkComponentCoppelius</v>
  </rv>
  <rv s="2">
    <v>65</v>
    <v>1</v>
    <v>0</v>
    <v>0</v>
    <v>LightlessSilkString</v>
  </rv>
  <rv s="2">
    <v>66</v>
    <v>1</v>
    <v>0</v>
    <v>0</v>
    <v>PhilosophiesofLight</v>
  </rv>
  <rv s="2">
    <v>185</v>
    <v>1</v>
    <v>0</v>
    <v>0</v>
    <v>AmakumoFruit</v>
  </rv>
  <rv s="2">
    <v>140</v>
    <v>1</v>
    <v>0</v>
    <v>0</v>
    <v>ShivadaJadeGemstone</v>
  </rv>
  <rv s="2">
    <v>276</v>
    <v>1</v>
    <v>0</v>
    <v>0</v>
    <v>CranesEchoingCall</v>
  </rv>
  <rv s="2">
    <v>277</v>
    <v>1</v>
    <v>0</v>
    <v>0</v>
    <v>CoralBranchofaDistantSea</v>
  </rv>
  <rv s="2">
    <v>278</v>
    <v>1</v>
    <v>0</v>
    <v>0</v>
    <v>Amber</v>
  </rv>
  <rv s="2">
    <v>107</v>
    <v>4</v>
    <v>0</v>
    <v>0</v>
    <v>SmallLampGrass</v>
  </rv>
  <rv s="2">
    <v>279</v>
    <v>1</v>
    <v>0</v>
    <v>0</v>
    <v>EmperorsResolution</v>
  </rv>
  <rv s="2">
    <v>280</v>
    <v>1</v>
    <v>0</v>
    <v>0</v>
    <v>LightlessEyeoftheMaelstrom</v>
  </rv>
  <rv s="2">
    <v>281</v>
    <v>1</v>
    <v>0</v>
    <v>0</v>
    <v>GuidetoLight</v>
  </rv>
  <rv s="2">
    <v>282</v>
    <v>1</v>
    <v>0</v>
    <v>0</v>
    <v>FluorescentFungus</v>
  </rv>
  <rv s="2">
    <v>283</v>
    <v>1</v>
    <v>0</v>
    <v>0</v>
    <v>ShivadaJadeChunk</v>
  </rv>
  <rv s="2">
    <v>284</v>
    <v>1</v>
    <v>0</v>
    <v>0</v>
    <v>CrescentPike</v>
  </rv>
  <rv s="2">
    <v>285</v>
    <v>1</v>
    <v>0</v>
    <v>0</v>
    <v>JeweledBranchofaDistantSea</v>
  </rv>
  <rv s="2">
    <v>286</v>
    <v>1</v>
    <v>0</v>
    <v>0</v>
    <v>Collei</v>
  </rv>
  <rv s="2">
    <v>225</v>
    <v>4</v>
    <v>0</v>
    <v>0</v>
    <v>MajesticHookedBeak</v>
  </rv>
  <rv s="2">
    <v>287</v>
    <v>4</v>
    <v>0</v>
    <v>0</v>
    <v>RukkhashavaMushrooms</v>
  </rv>
  <rv s="2">
    <v>288</v>
    <v>1</v>
    <v>0</v>
    <v>0</v>
    <v>TourbillonDevice</v>
  </rv>
  <rv s="2">
    <v>99</v>
    <v>1</v>
    <v>0</v>
    <v>0</v>
    <v>LightlessMass</v>
  </rv>
  <rv s="2">
    <v>289</v>
    <v>1</v>
    <v>0</v>
    <v>0</v>
    <v>TeachingsofLight</v>
  </rv>
  <rv s="2">
    <v>287</v>
    <v>1</v>
    <v>0</v>
    <v>0</v>
    <v>RukkhashavaMushrooms</v>
  </rv>
  <rv s="2">
    <v>290</v>
    <v>1</v>
    <v>0</v>
    <v>0</v>
    <v>ShivadaJadeFragment</v>
  </rv>
  <rv s="2">
    <v>291</v>
    <v>1</v>
    <v>0</v>
    <v>0</v>
    <v>CrimsonMoonsSemblance</v>
  </rv>
  <rv s="2">
    <v>292</v>
    <v>1</v>
    <v>0</v>
    <v>0</v>
    <v>JadeBranchofaDistantSea</v>
  </rv>
  <rv s="2">
    <v>293</v>
    <v>1</v>
    <v>0</v>
    <v>0</v>
    <v>Diona</v>
  </rv>
  <rv s="2">
    <v>130</v>
    <v>4</v>
    <v>0</v>
    <v>0</v>
    <v>ShardofaFoulLegacy</v>
  </rv>
  <rv s="2">
    <v>79</v>
    <v>1</v>
    <v>0</v>
    <v>0</v>
    <v>FontemerUnihorn</v>
  </rv>
  <rv s="2">
    <v>294</v>
    <v>1</v>
    <v>0</v>
    <v>0</v>
    <v>FadingCandle</v>
  </rv>
  <rv s="2">
    <v>295</v>
    <v>1</v>
    <v>0</v>
    <v>0</v>
    <v>PhilosophiesofAdmonition</v>
  </rv>
  <rv s="2">
    <v>224</v>
    <v>1</v>
    <v>0</v>
    <v>0</v>
    <v>Padisarah</v>
  </rv>
  <rv s="2">
    <v>296</v>
    <v>1</v>
    <v>0</v>
    <v>0</v>
    <v>ShivadaJadeSilver</v>
  </rv>
  <rv s="2">
    <v>297</v>
    <v>1</v>
    <v>0</v>
    <v>0</v>
    <v>DarkIronSword</v>
  </rv>
  <rv s="2">
    <v>298</v>
    <v>1</v>
    <v>0</v>
    <v>0</v>
    <v>GoldenBranchofaDistantSea</v>
  </rv>
  <rv s="2">
    <v>299</v>
    <v>1</v>
    <v>0</v>
    <v>0</v>
    <v>Faruzan</v>
  </rv>
  <rv s="2">
    <v>244</v>
    <v>4</v>
    <v>0</v>
    <v>0</v>
    <v>LightGuidingTetrahedron</v>
  </rv>
  <rv s="2">
    <v>239</v>
    <v>4</v>
    <v>0</v>
    <v>0</v>
    <v>PuppetStrings</v>
  </rv>
  <rv s="2">
    <v>295</v>
    <v>4</v>
    <v>0</v>
    <v>0</v>
    <v>PhilosophiesofAdmonition</v>
  </rv>
  <rv s="2">
    <v>98</v>
    <v>1</v>
    <v>0</v>
    <v>0</v>
    <v>WaterThatFailedToTranscend</v>
  </rv>
  <rv s="2">
    <v>300</v>
    <v>1</v>
    <v>0</v>
    <v>0</v>
    <v>SilkenFeather</v>
  </rv>
  <rv s="2">
    <v>301</v>
    <v>1</v>
    <v>0</v>
    <v>0</v>
    <v>GuidetoAdmonition</v>
  </rv>
  <rv s="2">
    <v>207</v>
    <v>1</v>
    <v>0</v>
    <v>0</v>
    <v>NilotpalaLotus</v>
  </rv>
  <rv s="2">
    <v>9</v>
    <v>1</v>
    <v>0</v>
    <v>0</v>
    <v>PrithivaTopazGemstone</v>
  </rv>
  <rv s="2">
    <v>302</v>
    <v>1</v>
    <v>0</v>
    <v>0</v>
    <v>Deathmatch</v>
  </rv>
  <rv s="2">
    <v>303</v>
    <v>1</v>
    <v>0</v>
    <v>0</v>
    <v>NarukamisWisdom</v>
  </rv>
  <rv s="2">
    <v>304</v>
    <v>1</v>
    <v>0</v>
    <v>0</v>
    <v>Fischl</v>
  </rv>
  <rv s="2">
    <v>305</v>
    <v>1</v>
    <v>0</v>
    <v>0</v>
    <v>CloudseamScale</v>
  </rv>
  <rv s="2">
    <v>306</v>
    <v>1</v>
    <v>0</v>
    <v>0</v>
    <v>DenialandJudgment</v>
  </rv>
  <rv s="2">
    <v>307</v>
    <v>1</v>
    <v>0</v>
    <v>0</v>
    <v>TeachingsofAdmonition</v>
  </rv>
  <rv s="2">
    <v>308</v>
    <v>1</v>
    <v>0</v>
    <v>0</v>
    <v>KalpalataLotus</v>
  </rv>
  <rv s="2">
    <v>309</v>
    <v>1</v>
    <v>0</v>
    <v>0</v>
    <v>PrithivaTopazChunk</v>
  </rv>
  <rv s="2">
    <v>310</v>
    <v>1</v>
    <v>0</v>
    <v>0</v>
    <v>DebateClub</v>
  </rv>
  <rv s="2">
    <v>311</v>
    <v>1</v>
    <v>0</v>
    <v>0</v>
    <v>NarukamisJoy</v>
  </rv>
  <rv s="2">
    <v>312</v>
    <v>1</v>
    <v>0</v>
    <v>0</v>
    <v>Ganyu</v>
  </rv>
  <rv s="2">
    <v>141</v>
    <v>4</v>
    <v>0</v>
    <v>0</v>
    <v>ShadowoftheWarrior</v>
  </rv>
  <rv s="2">
    <v>191</v>
    <v>4</v>
    <v>0</v>
    <v>0</v>
    <v>Qingxin</v>
  </rv>
  <rv s="2">
    <v>313</v>
    <v>1</v>
    <v>0</v>
    <v>0</v>
    <v>FragmentofaGoldenMelody</v>
  </rv>
  <rv s="2">
    <v>27</v>
    <v>1</v>
    <v>0</v>
    <v>0</v>
    <v>PhilosophiesofIngenuity</v>
  </rv>
  <rv s="2">
    <v>68</v>
    <v>1</v>
    <v>0</v>
    <v>0</v>
    <v>HennaBerry</v>
  </rv>
  <rv s="2">
    <v>314</v>
    <v>1</v>
    <v>0</v>
    <v>0</v>
    <v>PrithivaTopazFragment</v>
  </rv>
  <rv s="2">
    <v>315</v>
    <v>1</v>
    <v>0</v>
    <v>0</v>
    <v>DialoguesoftheDesertSages</v>
  </rv>
  <rv s="2">
    <v>316</v>
    <v>1</v>
    <v>0</v>
    <v>0</v>
    <v>NarukamisAffection</v>
  </rv>
  <rv s="2">
    <v>317</v>
    <v>1</v>
    <v>0</v>
    <v>0</v>
    <v>Gorou</v>
  </rv>
  <rv s="2">
    <v>270</v>
    <v>4</v>
    <v>0</v>
    <v>0</v>
    <v>SangoPearl</v>
  </rv>
  <rv s="2">
    <v>318</v>
    <v>1</v>
    <v>0</v>
    <v>0</v>
    <v>GuidetoIngenuity</v>
  </rv>
  <rv s="2">
    <v>29</v>
    <v>1</v>
    <v>0</v>
    <v>0</v>
    <v>SandGreasePupa</v>
  </rv>
  <rv s="2">
    <v>319</v>
    <v>1</v>
    <v>0</v>
    <v>0</v>
    <v>PrithivaTopazSilver</v>
  </rv>
  <rv s="2">
    <v>320</v>
    <v>1</v>
    <v>0</v>
    <v>0</v>
    <v>DodocoTales</v>
  </rv>
  <rv s="2">
    <v>321</v>
    <v>1</v>
    <v>0</v>
    <v>0</v>
    <v>NarukamisValor</v>
  </rv>
  <rv s="2">
    <v>322</v>
    <v>1</v>
    <v>0</v>
    <v>0</v>
    <v>KujouSara</v>
  </rv>
  <rv s="2">
    <v>186</v>
    <v>4</v>
    <v>0</v>
    <v>0</v>
    <v>StormBeads</v>
  </rv>
  <rv s="2">
    <v>209</v>
    <v>4</v>
    <v>0</v>
    <v>0</v>
    <v>AshenHeart</v>
  </rv>
  <rv s="2">
    <v>254</v>
    <v>4</v>
    <v>0</v>
    <v>0</v>
    <v>Dendrobium</v>
  </rv>
  <rv s="2">
    <v>323</v>
    <v>1</v>
    <v>0</v>
    <v>0</v>
    <v>TeachingsofIngenuity</v>
  </rv>
  <rv s="2">
    <v>324</v>
    <v>1</v>
    <v>0</v>
    <v>0</v>
    <v>MourningFlower</v>
  </rv>
  <rv s="2">
    <v>325</v>
    <v>1</v>
    <v>0</v>
    <v>0</v>
    <v>DragonsBane</v>
  </rv>
  <rv s="2">
    <v>326</v>
    <v>1</v>
    <v>0</v>
    <v>0</v>
    <v>MaskoftheWickedLieutenant</v>
  </rv>
  <rv s="2">
    <v>327</v>
    <v>1</v>
    <v>0</v>
    <v>0</v>
    <v>Lyney</v>
  </rv>
  <rv s="2">
    <v>279</v>
    <v>4</v>
    <v>0</v>
    <v>0</v>
    <v>EmperorsResolution</v>
  </rv>
  <rv s="2">
    <v>263</v>
    <v>4</v>
    <v>0</v>
    <v>0</v>
    <v>PrimordialGreenbloom</v>
  </rv>
  <rv s="2">
    <v>328</v>
    <v>4</v>
    <v>0</v>
    <v>0</v>
    <v>PhilosophiesofEquity</v>
  </rv>
  <rv s="2">
    <v>87</v>
    <v>4</v>
    <v>0</v>
    <v>0</v>
    <v>LieutenantsInsignia</v>
  </rv>
  <rv s="2">
    <v>329</v>
    <v>4</v>
    <v>0</v>
    <v>0</v>
    <v>RainbowRose</v>
  </rv>
  <rv s="2">
    <v>223</v>
    <v>1</v>
    <v>0</v>
    <v>0</v>
    <v>PhilosophiesofPraxis</v>
  </rv>
  <rv s="2">
    <v>330</v>
    <v>1</v>
    <v>0</v>
    <v>0</v>
    <v>Trishiraite</v>
  </rv>
  <rv s="2">
    <v>331</v>
    <v>1</v>
    <v>0</v>
    <v>0</v>
    <v>DragonspineSpear</v>
  </rv>
  <rv s="2">
    <v>332</v>
    <v>1</v>
    <v>0</v>
    <v>0</v>
    <v>MaskoftheTigersBite</v>
  </rv>
  <rv s="2">
    <v>333</v>
    <v>1</v>
    <v>0</v>
    <v>0</v>
    <v>Sethos</v>
  </rv>
  <rv s="2">
    <v>305</v>
    <v>4</v>
    <v>0</v>
    <v>0</v>
    <v>CloudseamScale</v>
  </rv>
  <rv s="2">
    <v>252</v>
    <v>4</v>
    <v>0</v>
    <v>0</v>
    <v>DakasBell</v>
  </rv>
  <rv s="2">
    <v>330</v>
    <v>4</v>
    <v>0</v>
    <v>0</v>
    <v>Trishiraite</v>
  </rv>
  <rv s="2">
    <v>334</v>
    <v>1</v>
    <v>0</v>
    <v>0</v>
    <v>GuidetoPraxis</v>
  </rv>
  <rv s="2">
    <v>335</v>
    <v>1</v>
    <v>0</v>
    <v>0</v>
    <v>Scarab</v>
  </rv>
  <rv s="2">
    <v>336</v>
    <v>1</v>
    <v>0</v>
    <v>0</v>
    <v>ElegyfortheEnd</v>
  </rv>
  <rv s="2">
    <v>337</v>
    <v>1</v>
    <v>0</v>
    <v>0</v>
    <v>MaskoftheOneHorned</v>
  </rv>
  <rv s="2">
    <v>338</v>
    <v>1</v>
    <v>0</v>
    <v>0</v>
    <v>Tartaglia</v>
  </rv>
  <rv s="2">
    <v>201</v>
    <v>4</v>
    <v>0</v>
    <v>0</v>
    <v>Starconch</v>
  </rv>
  <rv s="2">
    <v>339</v>
    <v>1</v>
    <v>0</v>
    <v>0</v>
    <v>TeachingsofPraxis</v>
  </rv>
  <rv s="2">
    <v>340</v>
    <v>1</v>
    <v>0</v>
    <v>0</v>
    <v>BerylConch</v>
  </rv>
  <rv s="2">
    <v>341</v>
    <v>1</v>
    <v>0</v>
    <v>0</v>
    <v>EmeraldOrb</v>
  </rv>
  <rv s="2">
    <v>342</v>
    <v>1</v>
    <v>0</v>
    <v>0</v>
    <v>MaskoftheKijin</v>
  </rv>
  <rv s="2">
    <v>343</v>
    <v>1</v>
    <v>0</v>
    <v>0</v>
    <v>Tighnari</v>
  </rv>
  <rv s="2">
    <v>232</v>
    <v>4</v>
    <v>0</v>
    <v>0</v>
    <v>TheMeaningofAeons</v>
  </rv>
  <rv s="2">
    <v>328</v>
    <v>1</v>
    <v>0</v>
    <v>0</v>
    <v>PhilosophiesofEquity</v>
  </rv>
  <rv s="2">
    <v>344</v>
    <v>1</v>
    <v>0</v>
    <v>0</v>
    <v>RomaritimeFlower</v>
  </rv>
  <rv s="2">
    <v>345</v>
    <v>1</v>
    <v>0</v>
    <v>0</v>
    <v>EndoftheLine</v>
  </rv>
  <rv s="2">
    <v>346</v>
    <v>1</v>
    <v>0</v>
    <v>0</v>
    <v>CopperTalismanoftheForestDew</v>
  </rv>
  <rv s="2">
    <v>347</v>
    <v>1</v>
    <v>0</v>
    <v>0</v>
    <v>Venti</v>
  </rv>
  <rv s="2">
    <v>12</v>
    <v>4</v>
    <v>0</v>
    <v>0</v>
    <v>SlimeConcentrate</v>
  </rv>
  <rv s="2">
    <v>348</v>
    <v>1</v>
    <v>0</v>
    <v>0</v>
    <v>GuidetoEquity</v>
  </rv>
  <rv s="2">
    <v>217</v>
    <v>1</v>
    <v>0</v>
    <v>0</v>
    <v>LumidouceBell</v>
  </rv>
  <rv s="2">
    <v>349</v>
    <v>1</v>
    <v>0</v>
    <v>0</v>
    <v>EngulfingLightning</v>
  </rv>
  <rv s="2">
    <v>350</v>
    <v>1</v>
    <v>0</v>
    <v>0</v>
    <v>IronTalismanoftheForestDew</v>
  </rv>
  <rv s="2">
    <v>351</v>
    <v>1</v>
    <v>0</v>
    <v>0</v>
    <v>Yelan</v>
  </rv>
  <rv s="2">
    <v>352</v>
    <v>1</v>
    <v>0</v>
    <v>0</v>
    <v>TeachingsofEquity</v>
  </rv>
  <rv s="2">
    <v>329</v>
    <v>1</v>
    <v>0</v>
    <v>0</v>
    <v>RainbowRose</v>
  </rv>
  <rv s="2">
    <v>353</v>
    <v>1</v>
    <v>0</v>
    <v>0</v>
    <v>EverlastingMoonglow</v>
  </rv>
  <rv s="2">
    <v>354</v>
    <v>1</v>
    <v>0</v>
    <v>0</v>
    <v>SilverTalismanoftheForestDew</v>
  </rv>
  <rv s="2">
    <v>355</v>
    <v>1</v>
    <v>0</v>
    <v>0</v>
    <v>Yoimiya</v>
  </rv>
  <rv s="2">
    <v>165</v>
    <v>4</v>
    <v>0</v>
    <v>0</v>
    <v>SmolderingPearl</v>
  </rv>
  <rv s="2">
    <v>81</v>
    <v>1</v>
    <v>0</v>
    <v>0</v>
    <v>PhilosophiesofJustice</v>
  </rv>
  <rv s="2">
    <v>83</v>
    <v>1</v>
    <v>0</v>
    <v>0</v>
    <v>Lumitoile</v>
  </rv>
  <rv s="2">
    <v>356</v>
    <v>1</v>
    <v>0</v>
    <v>0</v>
    <v>EyeofPerception</v>
  </rv>
  <rv s="2">
    <v>357</v>
    <v>1</v>
    <v>0</v>
    <v>0</v>
    <v>GoldenTalismanoftheForestDew</v>
  </rv>
  <rv s="2">
    <v>358</v>
    <v>1</v>
    <v>0</v>
    <v>0</v>
    <v>AratakiItto</v>
  </rv>
  <rv s="2">
    <v>40</v>
    <v>4</v>
    <v>0</v>
    <v>0</v>
    <v>claymore</v>
  </rv>
  <rv s="2">
    <v>198</v>
    <v>4</v>
    <v>0</v>
    <v>0</v>
    <v>RiftbornRegalia</v>
  </rv>
  <rv s="2">
    <v>234</v>
    <v>4</v>
    <v>0</v>
    <v>0</v>
    <v>Onikabuto</v>
  </rv>
  <rv s="2">
    <v>359</v>
    <v>1</v>
    <v>0</v>
    <v>0</v>
    <v>GuidetoJustice</v>
  </rv>
  <rv s="2">
    <v>101</v>
    <v>1</v>
    <v>0</v>
    <v>0</v>
    <v>LakelightLily</v>
  </rv>
  <rv s="2">
    <v>360</v>
    <v>1</v>
    <v>0</v>
    <v>0</v>
    <v>FadingTwilight</v>
  </rv>
  <rv s="2">
    <v>361</v>
    <v>1</v>
    <v>0</v>
    <v>0</v>
    <v>OasisGardensReminiscence</v>
  </rv>
  <rv s="2">
    <v>362</v>
    <v>1</v>
    <v>0</v>
    <v>0</v>
    <v>Beidou</v>
  </rv>
  <rv s="2">
    <v>158</v>
    <v>4</v>
    <v>0</v>
    <v>0</v>
    <v>NoctilucousJade</v>
  </rv>
  <rv s="2">
    <v>363</v>
    <v>1</v>
    <v>0</v>
    <v>0</v>
    <v>TeachingsofJustice</v>
  </rv>
  <rv s="2">
    <v>364</v>
    <v>1</v>
    <v>0</v>
    <v>0</v>
    <v>SubdetectionUnit</v>
  </rv>
  <rv s="2">
    <v>365</v>
    <v>1</v>
    <v>0</v>
    <v>0</v>
    <v>FavoniusCodex</v>
  </rv>
  <rv s="2">
    <v>366</v>
    <v>1</v>
    <v>0</v>
    <v>0</v>
    <v>OasisGardensKindness</v>
  </rv>
  <rv s="2">
    <v>367</v>
    <v>1</v>
    <v>0</v>
    <v>0</v>
    <v>Chongyun</v>
  </rv>
  <rv s="2">
    <v>216</v>
    <v>1</v>
    <v>0</v>
    <v>0</v>
    <v>PhilosophiesofOrder</v>
  </rv>
  <rv s="2">
    <v>368</v>
    <v>1</v>
    <v>0</v>
    <v>0</v>
    <v>SpringoftheFirstDewdrop</v>
  </rv>
  <rv s="2">
    <v>369</v>
    <v>1</v>
    <v>0</v>
    <v>0</v>
    <v>FavoniusGreatsword</v>
  </rv>
  <rv s="2">
    <v>370</v>
    <v>1</v>
    <v>0</v>
    <v>0</v>
    <v>OasisGardensMourning</v>
  </rv>
  <rv s="2">
    <v>371</v>
    <v>1</v>
    <v>0</v>
    <v>0</v>
    <v>Dehya</v>
  </rv>
  <rv s="2">
    <v>372</v>
    <v>1</v>
    <v>0</v>
    <v>0</v>
    <v>GuidetoOrder</v>
  </rv>
  <rv s="2">
    <v>373</v>
    <v>1</v>
    <v>0</v>
    <v>0</v>
    <v>FavoniusLance</v>
  </rv>
  <rv s="2">
    <v>374</v>
    <v>1</v>
    <v>0</v>
    <v>0</v>
    <v>OasisGardensTruth</v>
  </rv>
  <rv s="2">
    <v>375</v>
    <v>1</v>
    <v>0</v>
    <v>0</v>
    <v>Diluc</v>
  </rv>
  <rv s="2">
    <v>376</v>
    <v>1</v>
    <v>0</v>
    <v>0</v>
    <v>TeachingsofOrder</v>
  </rv>
  <rv s="2">
    <v>377</v>
    <v>1</v>
    <v>0</v>
    <v>0</v>
    <v>FavoniusSword</v>
  </rv>
  <rv s="2">
    <v>378</v>
    <v>1</v>
    <v>0</v>
    <v>0</v>
    <v>EchoofScorchingMight</v>
  </rv>
  <rv s="2">
    <v>379</v>
    <v>1</v>
    <v>0</v>
    <v>0</v>
    <v>Dori</v>
  </rv>
  <rv s="2">
    <v>231</v>
    <v>4</v>
    <v>0</v>
    <v>0</v>
    <v>ThunderclapFruitcore</v>
  </rv>
  <rv s="2">
    <v>308</v>
    <v>4</v>
    <v>0</v>
    <v>0</v>
    <v>KalpalataLotus</v>
  </rv>
  <rv s="2">
    <v>380</v>
    <v>1</v>
    <v>0</v>
    <v>0</v>
    <v>FavoniusWarbow</v>
  </rv>
  <rv s="2">
    <v>381</v>
    <v>1</v>
    <v>0</v>
    <v>0</v>
    <v>RemnantGlowofScorchingMight</v>
  </rv>
  <rv s="2">
    <v>382</v>
    <v>1</v>
    <v>0</v>
    <v>0</v>
    <v>Eula</v>
  </rv>
  <rv s="2">
    <v>383</v>
    <v>1</v>
    <v>0</v>
    <v>0</v>
    <v>FerrousShadow</v>
  </rv>
  <rv s="2">
    <v>384</v>
    <v>1</v>
    <v>0</v>
    <v>0</v>
    <v>DreamofScorchingMight</v>
  </rv>
  <rv s="2">
    <v>385</v>
    <v>1</v>
    <v>0</v>
    <v>0</v>
    <v>Freminet</v>
  </rv>
  <rv s="2">
    <v>275</v>
    <v>4</v>
    <v>0</v>
    <v>0</v>
    <v>ArtificedSpareClockworkComponentCoppelius</v>
  </rv>
  <rv s="2">
    <v>344</v>
    <v>4</v>
    <v>0</v>
    <v>0</v>
    <v>RomaritimeFlower</v>
  </rv>
  <rv s="2">
    <v>386</v>
    <v>1</v>
    <v>0</v>
    <v>0</v>
    <v>FesteringDesire</v>
  </rv>
  <rv s="2">
    <v>387</v>
    <v>1</v>
    <v>0</v>
    <v>0</v>
    <v>OldenDaysofScorchingMight</v>
  </rv>
  <rv s="2">
    <v>388</v>
    <v>1</v>
    <v>0</v>
    <v>0</v>
    <v>Gaming</v>
  </rv>
  <rv s="2">
    <v>389</v>
    <v>1</v>
    <v>0</v>
    <v>0</v>
    <v>FilletBlade</v>
  </rv>
  <rv s="2">
    <v>390</v>
    <v>1</v>
    <v>0</v>
    <v>0</v>
    <v>FragmentofanAncientChord</v>
  </rv>
  <rv s="2">
    <v>391</v>
    <v>1</v>
    <v>0</v>
    <v>0</v>
    <v>Kaveh</v>
  </rv>
  <rv s="2">
    <v>251</v>
    <v>4</v>
    <v>0</v>
    <v>0</v>
    <v>QuelledCreeper</v>
  </rv>
  <rv s="2">
    <v>324</v>
    <v>4</v>
    <v>0</v>
    <v>0</v>
    <v>MourningFlower</v>
  </rv>
  <rv s="2">
    <v>392</v>
    <v>1</v>
    <v>0</v>
    <v>0</v>
    <v>FinaleoftheDeep</v>
  </rv>
  <rv s="2">
    <v>393</v>
    <v>1</v>
    <v>0</v>
    <v>0</v>
    <v>ChapterofanAncientChord</v>
  </rv>
  <rv s="2">
    <v>394</v>
    <v>1</v>
    <v>0</v>
    <v>0</v>
    <v>Navia</v>
  </rv>
  <rv s="2">
    <v>368</v>
    <v>4</v>
    <v>0</v>
    <v>0</v>
    <v>SpringoftheFirstDewdrop</v>
  </rv>
  <rv s="2">
    <v>395</v>
    <v>1</v>
    <v>0</v>
    <v>0</v>
    <v>FleuveCendreFerryman</v>
  </rv>
  <rv s="2">
    <v>396</v>
    <v>1</v>
    <v>0</v>
    <v>0</v>
    <v>MovementofanAncientChord</v>
  </rv>
  <rv s="2">
    <v>397</v>
    <v>1</v>
    <v>0</v>
    <v>0</v>
    <v>Noelle</v>
  </rv>
  <rv s="2">
    <v>32</v>
    <v>4</v>
    <v>0</v>
    <v>0</v>
    <v>DvalinsClaw</v>
  </rv>
  <rv s="2">
    <v>37</v>
    <v>4</v>
    <v>0</v>
    <v>0</v>
    <v>Valberry</v>
  </rv>
  <rv s="2">
    <v>398</v>
    <v>1</v>
    <v>0</v>
    <v>0</v>
    <v>FlowingPurity</v>
  </rv>
  <rv s="2">
    <v>399</v>
    <v>1</v>
    <v>0</v>
    <v>0</v>
    <v>EchoofanAncientChord</v>
  </rv>
  <rv s="2">
    <v>400</v>
    <v>1</v>
    <v>0</v>
    <v>0</v>
    <v>Razor</v>
  </rv>
  <rv s="2">
    <v>16</v>
    <v>4</v>
    <v>0</v>
    <v>0</v>
    <v>Wolfhook</v>
  </rv>
  <rv s="2">
    <v>401</v>
    <v>1</v>
    <v>0</v>
    <v>0</v>
    <v>ForestRegalia</v>
  </rv>
  <rv s="2">
    <v>402</v>
    <v>1</v>
    <v>0</v>
    <v>0</v>
    <v>DrossofPureSacredDewdrop</v>
  </rv>
  <rv s="2">
    <v>403</v>
    <v>1</v>
    <v>0</v>
    <v>0</v>
    <v>Sayu</v>
  </rv>
  <rv s="2">
    <v>404</v>
    <v>1</v>
    <v>0</v>
    <v>0</v>
    <v>FreedomSworn</v>
  </rv>
  <rv s="2">
    <v>405</v>
    <v>1</v>
    <v>0</v>
    <v>0</v>
    <v>SublimationofPureSacredDewdrop</v>
  </rv>
  <rv s="2">
    <v>406</v>
    <v>1</v>
    <v>0</v>
    <v>0</v>
    <v>Xinyan</v>
  </rv>
  <rv s="2">
    <v>407</v>
    <v>1</v>
    <v>0</v>
    <v>0</v>
    <v>Frostbearer</v>
  </rv>
  <rv s="2">
    <v>408</v>
    <v>1</v>
    <v>0</v>
    <v>0</v>
    <v>SpringofPureSacredDewdrop</v>
  </rv>
  <rv s="2">
    <v>409</v>
    <v>1</v>
    <v>0</v>
    <v>0</v>
    <v>Arlecchino</v>
  </rv>
  <rv s="2">
    <v>58</v>
    <v>4</v>
    <v>0</v>
    <v>0</v>
    <v>polearm</v>
  </rv>
  <rv s="2">
    <v>313</v>
    <v>4</v>
    <v>0</v>
    <v>0</v>
    <v>FragmentofaGoldenMelody</v>
  </rv>
  <rv s="2">
    <v>294</v>
    <v>4</v>
    <v>0</v>
    <v>0</v>
    <v>FadingCandle</v>
  </rv>
  <rv s="2">
    <v>410</v>
    <v>1</v>
    <v>0</v>
    <v>0</v>
    <v>FruitofFulfillment</v>
  </rv>
  <rv s="2">
    <v>411</v>
    <v>1</v>
    <v>0</v>
    <v>0</v>
    <v>EssenceofPureSacredDewdrop</v>
  </rv>
  <rv s="2">
    <v>412</v>
    <v>1</v>
    <v>0</v>
    <v>0</v>
    <v>Baizhu</v>
  </rv>
  <rv s="2">
    <v>93</v>
    <v>4</v>
    <v>0</v>
    <v>0</v>
    <v>catalyst</v>
  </rv>
  <rv s="2">
    <v>413</v>
    <v>1</v>
    <v>0</v>
    <v>0</v>
    <v>HakushinRing</v>
  </rv>
  <rv s="2">
    <v>414</v>
    <v>1</v>
    <v>0</v>
    <v>0</v>
    <v>BrokenGobletofthePristineSea</v>
  </rv>
  <rv s="2">
    <v>415</v>
    <v>1</v>
    <v>0</v>
    <v>0</v>
    <v>Barbara</v>
  </rv>
  <rv s="2">
    <v>91</v>
    <v>4</v>
    <v>0</v>
    <v>0</v>
    <v>PhilanemoMushroom</v>
  </rv>
  <rv s="2">
    <v>416</v>
    <v>1</v>
    <v>0</v>
    <v>0</v>
    <v>Halberd</v>
  </rv>
  <rv s="2">
    <v>417</v>
    <v>1</v>
    <v>0</v>
    <v>0</v>
    <v>WineGobletofthePristineSea</v>
  </rv>
  <rv s="2">
    <v>418</v>
    <v>1</v>
    <v>0</v>
    <v>0</v>
    <v>Charlotte</v>
  </rv>
  <rv s="2">
    <v>288</v>
    <v>4</v>
    <v>0</v>
    <v>0</v>
    <v>TourbillonDevice</v>
  </rv>
  <rv s="2">
    <v>340</v>
    <v>4</v>
    <v>0</v>
    <v>0</v>
    <v>BerylConch</v>
  </rv>
  <rv s="2">
    <v>419</v>
    <v>1</v>
    <v>0</v>
    <v>0</v>
    <v>Hamayumi</v>
  </rv>
  <rv s="2">
    <v>420</v>
    <v>1</v>
    <v>0</v>
    <v>0</v>
    <v>SilverGobletofthePristineSea</v>
  </rv>
  <rv s="2">
    <v>421</v>
    <v>1</v>
    <v>0</v>
    <v>0</v>
    <v>Klee</v>
  </rv>
  <rv s="2">
    <v>422</v>
    <v>1</v>
    <v>0</v>
    <v>0</v>
    <v>HaranGeppakuFutsu</v>
  </rv>
  <rv s="2">
    <v>423</v>
    <v>1</v>
    <v>0</v>
    <v>0</v>
    <v>GoldenGobletofthePristineSea</v>
  </rv>
  <rv s="2">
    <v>424</v>
    <v>1</v>
    <v>0</v>
    <v>0</v>
    <v>Lisa</v>
  </rv>
  <rv s="2">
    <v>425</v>
    <v>1</v>
    <v>0</v>
    <v>0</v>
    <v>HarbingerofDawn</v>
  </rv>
  <rv s="2">
    <v>426</v>
    <v>1</v>
    <v>0</v>
    <v>0</v>
    <v>Mona</v>
  </rv>
  <rv s="2">
    <v>427</v>
    <v>1</v>
    <v>0</v>
    <v>0</v>
    <v>HuntersPath</v>
  </rv>
  <rv s="2">
    <v>428</v>
    <v>1</v>
    <v>0</v>
    <v>0</v>
    <v>Nahida</v>
  </rv>
  <rv s="2">
    <v>429</v>
    <v>1</v>
    <v>0</v>
    <v>0</v>
    <v>IbisPiercer</v>
  </rv>
  <rv s="2">
    <v>430</v>
    <v>1</v>
    <v>0</v>
    <v>0</v>
    <v>Neuvillette</v>
  </rv>
  <rv s="2">
    <v>431</v>
    <v>1</v>
    <v>0</v>
    <v>0</v>
    <v>IronSting</v>
  </rv>
  <rv s="2">
    <v>432</v>
    <v>1</v>
    <v>0</v>
    <v>0</v>
    <v>Ningguang</v>
  </rv>
  <rv s="2">
    <v>178</v>
    <v>4</v>
    <v>0</v>
    <v>0</v>
    <v>GlazeLily</v>
  </rv>
  <rv s="2">
    <v>433</v>
    <v>1</v>
    <v>0</v>
    <v>0</v>
    <v>JadefallsSplendor</v>
  </rv>
  <rv s="2">
    <v>434</v>
    <v>1</v>
    <v>0</v>
    <v>0</v>
    <v>SangonomiyaKokomi</v>
  </rv>
  <rv s="2">
    <v>199</v>
    <v>4</v>
    <v>0</v>
    <v>0</v>
    <v>HellfireButterfly</v>
  </rv>
  <rv s="2">
    <v>435</v>
    <v>1</v>
    <v>0</v>
    <v>0</v>
    <v>KagotsurubeIsshin</v>
  </rv>
  <rv s="2">
    <v>436</v>
    <v>1</v>
    <v>0</v>
    <v>0</v>
    <v>ShikanoinHeizou</v>
  </rv>
  <rv s="2">
    <v>437</v>
    <v>1</v>
    <v>0</v>
    <v>0</v>
    <v>KagurasVerity</v>
  </rv>
  <rv s="2">
    <v>438</v>
    <v>1</v>
    <v>0</v>
    <v>0</v>
    <v>Sucrose</v>
  </rv>
  <rv s="2">
    <v>439</v>
    <v>1</v>
    <v>0</v>
    <v>0</v>
    <v>KatsuragikiriNagamasa</v>
  </rv>
  <rv s="2">
    <v>440</v>
    <v>1</v>
    <v>0</v>
    <v>0</v>
    <v>Wanderer</v>
  </rv>
  <rv s="2">
    <v>441</v>
    <v>1</v>
    <v>0</v>
    <v>0</v>
    <v>KeyofKhajNisut</v>
  </rv>
  <rv s="2">
    <v>442</v>
    <v>1</v>
    <v>0</v>
    <v>0</v>
    <v>Wriothesley</v>
  </rv>
  <rv s="2">
    <v>364</v>
    <v>4</v>
    <v>0</v>
    <v>0</v>
    <v>SubdetectionUnit</v>
  </rv>
  <rv s="2">
    <v>443</v>
    <v>1</v>
    <v>0</v>
    <v>0</v>
    <v>KingsSquire</v>
  </rv>
  <rv s="2">
    <v>444</v>
    <v>1</v>
    <v>0</v>
    <v>0</v>
    <v>Xianyun</v>
  </rv>
  <rv s="2">
    <v>280</v>
    <v>4</v>
    <v>0</v>
    <v>0</v>
    <v>LightlessEyeoftheMaelstrom</v>
  </rv>
  <rv s="2">
    <v>227</v>
    <v>4</v>
    <v>0</v>
    <v>0</v>
    <v>ClearwaterJade</v>
  </rv>
  <rv s="2">
    <v>445</v>
    <v>1</v>
    <v>0</v>
    <v>0</v>
    <v>KitainCrossSpear</v>
  </rv>
  <rv s="2">
    <v>446</v>
    <v>1</v>
    <v>0</v>
    <v>0</v>
    <v>YaeMiko</v>
  </rv>
  <rv s="2">
    <v>208</v>
    <v>4</v>
    <v>0</v>
    <v>0</v>
    <v>DragonheirsFalseFin</v>
  </rv>
  <rv s="2">
    <v>447</v>
    <v>1</v>
    <v>0</v>
    <v>0</v>
    <v>LightofFoliarIncision</v>
  </rv>
  <rv s="2">
    <v>448</v>
    <v>1</v>
    <v>0</v>
    <v>0</v>
    <v>Yanfei</v>
  </rv>
  <rv s="2">
    <v>115</v>
    <v>4</v>
    <v>0</v>
    <v>0</v>
    <v>JuvenileJade</v>
  </rv>
  <rv s="2">
    <v>449</v>
    <v>1</v>
    <v>0</v>
    <v>0</v>
    <v>LionsRoar</v>
  </rv>
  <rv s="2">
    <v>450</v>
    <v>1</v>
    <v>0</v>
    <v>0</v>
    <v>Candace</v>
  </rv>
  <rv s="2">
    <v>451</v>
    <v>1</v>
    <v>0</v>
    <v>0</v>
    <v>LithicBlade</v>
  </rv>
  <rv s="2">
    <v>452</v>
    <v>1</v>
    <v>0</v>
    <v>0</v>
    <v>Chevreuse</v>
  </rv>
  <rv s="2">
    <v>453</v>
    <v>1</v>
    <v>0</v>
    <v>0</v>
    <v>LithicSpear</v>
  </rv>
  <rv s="2">
    <v>454</v>
    <v>1</v>
    <v>0</v>
    <v>0</v>
    <v>Cyno</v>
  </rv>
  <rv s="2">
    <v>335</v>
    <v>4</v>
    <v>0</v>
    <v>0</v>
    <v>Scarab</v>
  </rv>
  <rv s="2">
    <v>455</v>
    <v>1</v>
    <v>0</v>
    <v>0</v>
    <v>LostPrayertotheSacredWinds</v>
  </rv>
  <rv s="2">
    <v>456</v>
    <v>1</v>
    <v>0</v>
    <v>0</v>
    <v>HuTao</v>
  </rv>
  <rv s="2">
    <v>457</v>
    <v>1</v>
    <v>0</v>
    <v>0</v>
    <v>LuxuriousSeaLord</v>
  </rv>
  <rv s="2">
    <v>458</v>
    <v>1</v>
    <v>0</v>
    <v>0</v>
    <v>Mika</v>
  </rv>
  <rv s="2">
    <v>459</v>
    <v>1</v>
    <v>0</v>
    <v>0</v>
    <v>MagicGuide</v>
  </rv>
  <rv s="2">
    <v>460</v>
    <v>1</v>
    <v>0</v>
    <v>0</v>
    <v>RaidenShogun</v>
  </rv>
  <rv s="2">
    <v>461</v>
    <v>1</v>
    <v>0</v>
    <v>0</v>
    <v>MailedFlower</v>
  </rv>
  <rv s="2">
    <v>462</v>
    <v>1</v>
    <v>0</v>
    <v>0</v>
    <v>Rosaria</v>
  </rv>
  <rv s="2">
    <v>463</v>
    <v>1</v>
    <v>0</v>
    <v>0</v>
    <v>MakhairaAquamarine</v>
  </rv>
  <rv s="2">
    <v>464</v>
    <v>1</v>
    <v>0</v>
    <v>0</v>
    <v>Shenhe</v>
  </rv>
  <rv s="2">
    <v>465</v>
    <v>1</v>
    <v>0</v>
    <v>0</v>
    <v>MappaMare</v>
  </rv>
  <rv s="2">
    <v>466</v>
    <v>1</v>
    <v>0</v>
    <v>0</v>
    <v>Thoma</v>
  </rv>
  <rv s="2">
    <v>282</v>
    <v>4</v>
    <v>0</v>
    <v>0</v>
    <v>FluorescentFungus</v>
  </rv>
  <rv s="2">
    <v>467</v>
    <v>1</v>
    <v>0</v>
    <v>0</v>
    <v>MemoryofDust</v>
  </rv>
  <rv s="2">
    <v>468</v>
    <v>1</v>
    <v>0</v>
    <v>0</v>
    <v>Xiangling</v>
  </rv>
  <rv s="2">
    <v>145</v>
    <v>4</v>
    <v>0</v>
    <v>0</v>
    <v>JueyunChili</v>
  </rv>
  <rv s="2">
    <v>469</v>
    <v>1</v>
    <v>0</v>
    <v>0</v>
    <v>Messenger</v>
  </rv>
  <rv s="2">
    <v>470</v>
    <v>1</v>
    <v>0</v>
    <v>0</v>
    <v>Xiao</v>
  </rv>
  <rv s="2">
    <v>471</v>
    <v>1</v>
    <v>0</v>
    <v>0</v>
    <v>MissiveWindspear</v>
  </rv>
  <rv s="2">
    <v>472</v>
    <v>1</v>
    <v>0</v>
    <v>0</v>
    <v>Yaoyao</v>
  </rv>
  <rv s="2">
    <v>473</v>
    <v>1</v>
    <v>0</v>
    <v>0</v>
    <v>MistsplitterReforged</v>
  </rv>
  <rv s="2">
    <v>474</v>
    <v>1</v>
    <v>0</v>
    <v>0</v>
    <v>YunJin</v>
  </rv>
  <rv s="2">
    <v>475</v>
    <v>1</v>
    <v>0</v>
    <v>0</v>
    <v>MitternachtsWaltz</v>
  </rv>
  <rv s="2">
    <v>476</v>
    <v>1</v>
    <v>0</v>
    <v>0</v>
    <v>Zhongli</v>
  </rv>
  <rv s="2">
    <v>477</v>
    <v>1</v>
    <v>0</v>
    <v>0</v>
    <v>Moonpiercer</v>
  </rv>
  <rv s="2">
    <v>478</v>
    <v>1</v>
    <v>0</v>
    <v>0</v>
    <v>MouunsMoon</v>
  </rv>
  <rv s="2">
    <v>479</v>
    <v>1</v>
    <v>0</v>
    <v>0</v>
    <v>OathswornEye</v>
  </rv>
  <rv s="2">
    <v>480</v>
    <v>1</v>
    <v>0</v>
    <v>0</v>
    <v>OtherworldlyStory</v>
  </rv>
  <rv s="2">
    <v>481</v>
    <v>1</v>
    <v>0</v>
    <v>0</v>
    <v>PolarStar</v>
  </rv>
  <rv s="2">
    <v>482</v>
    <v>1</v>
    <v>0</v>
    <v>0</v>
    <v>PortablePowerSaw</v>
  </rv>
  <rv s="2">
    <v>483</v>
    <v>1</v>
    <v>0</v>
    <v>0</v>
    <v>Predator</v>
  </rv>
  <rv s="2">
    <v>484</v>
    <v>1</v>
    <v>0</v>
    <v>0</v>
    <v>PrimordialJadeCutter</v>
  </rv>
  <rv s="2">
    <v>485</v>
    <v>1</v>
    <v>0</v>
    <v>0</v>
    <v>PrimordialJadeWingedSpear</v>
  </rv>
  <rv s="2">
    <v>486</v>
    <v>1</v>
    <v>0</v>
    <v>0</v>
    <v>ProspectorsDrill</v>
  </rv>
  <rv s="2">
    <v>487</v>
    <v>1</v>
    <v>0</v>
    <v>0</v>
    <v>PrototypeAmber</v>
  </rv>
  <rv s="2">
    <v>488</v>
    <v>1</v>
    <v>0</v>
    <v>0</v>
    <v>PrototypeArchaic</v>
  </rv>
  <rv s="2">
    <v>489</v>
    <v>1</v>
    <v>0</v>
    <v>0</v>
    <v>PrototypeCrescent</v>
  </rv>
  <rv s="2">
    <v>490</v>
    <v>1</v>
    <v>0</v>
    <v>0</v>
    <v>PrototypeRancour</v>
  </rv>
  <rv s="2">
    <v>491</v>
    <v>1</v>
    <v>0</v>
    <v>0</v>
    <v>PrototypeStarglitter</v>
  </rv>
  <rv s="2">
    <v>492</v>
    <v>1</v>
    <v>0</v>
    <v>0</v>
    <v>Rainslasher</v>
  </rv>
  <rv s="2">
    <v>493</v>
    <v>1</v>
    <v>0</v>
    <v>0</v>
    <v>RangeGauge</v>
  </rv>
  <rv s="2">
    <v>494</v>
    <v>1</v>
    <v>0</v>
    <v>0</v>
    <v>RavenBow</v>
  </rv>
  <rv s="2">
    <v>495</v>
    <v>1</v>
    <v>0</v>
    <v>0</v>
    <v>RecurveBow</v>
  </rv>
  <rv s="2">
    <v>496</v>
    <v>1</v>
    <v>0</v>
    <v>0</v>
    <v>RedhornStonethresher</v>
  </rv>
  <rv s="2">
    <v>497</v>
    <v>1</v>
    <v>0</v>
    <v>0</v>
    <v>RightfulReward</v>
  </rv>
  <rv s="2">
    <v>498</v>
    <v>1</v>
    <v>0</v>
    <v>0</v>
    <v>RoyalBow</v>
  </rv>
  <rv s="2">
    <v>499</v>
    <v>1</v>
    <v>0</v>
    <v>0</v>
    <v>RoyalGreatsword</v>
  </rv>
  <rv s="2">
    <v>500</v>
    <v>1</v>
    <v>0</v>
    <v>0</v>
    <v>RoyalGrimoire</v>
  </rv>
  <rv s="2">
    <v>501</v>
    <v>1</v>
    <v>0</v>
    <v>0</v>
    <v>RoyalLongsword</v>
  </rv>
  <rv s="2">
    <v>502</v>
    <v>1</v>
    <v>0</v>
    <v>0</v>
    <v>RoyalSpear</v>
  </rv>
  <rv s="2">
    <v>503</v>
    <v>1</v>
    <v>0</v>
    <v>0</v>
    <v>Rust</v>
  </rv>
  <rv s="2">
    <v>504</v>
    <v>1</v>
    <v>0</v>
    <v>0</v>
    <v>SacrificialBow</v>
  </rv>
  <rv s="2">
    <v>505</v>
    <v>1</v>
    <v>0</v>
    <v>0</v>
    <v>SacrificialFragments</v>
  </rv>
  <rv s="2">
    <v>506</v>
    <v>1</v>
    <v>0</v>
    <v>0</v>
    <v>SacrificialGreatsword</v>
  </rv>
  <rv s="2">
    <v>507</v>
    <v>1</v>
    <v>0</v>
    <v>0</v>
    <v>SacrificialJade</v>
  </rv>
  <rv s="2">
    <v>508</v>
    <v>1</v>
    <v>0</v>
    <v>0</v>
    <v>SacrificialSword</v>
  </rv>
  <rv s="2">
    <v>509</v>
    <v>1</v>
    <v>0</v>
    <v>0</v>
    <v>SapwoodBlade</v>
  </rv>
  <rv s="2">
    <v>510</v>
    <v>1</v>
    <v>0</v>
    <v>0</v>
    <v>ScionoftheBlazingSun</v>
  </rv>
  <rv s="2">
    <v>511</v>
    <v>1</v>
    <v>0</v>
    <v>0</v>
    <v>SerpentSpine</v>
  </rv>
  <rv s="2">
    <v>512</v>
    <v>1</v>
    <v>0</v>
    <v>0</v>
    <v>SharpshootersOath</v>
  </rv>
  <rv s="2">
    <v>513</v>
    <v>1</v>
    <v>0</v>
    <v>0</v>
    <v>SkyriderGreatsword</v>
  </rv>
  <rv s="2">
    <v>514</v>
    <v>1</v>
    <v>0</v>
    <v>0</v>
    <v>SkyriderSword</v>
  </rv>
  <rv s="2">
    <v>515</v>
    <v>1</v>
    <v>0</v>
    <v>0</v>
    <v>SkywardAtlas</v>
  </rv>
  <rv s="2">
    <v>516</v>
    <v>1</v>
    <v>0</v>
    <v>0</v>
    <v>SkywardBlade</v>
  </rv>
  <rv s="2">
    <v>517</v>
    <v>1</v>
    <v>0</v>
    <v>0</v>
    <v>SkywardHarp</v>
  </rv>
  <rv s="2">
    <v>518</v>
    <v>1</v>
    <v>0</v>
    <v>0</v>
    <v>SkywardPride</v>
  </rv>
  <rv s="2">
    <v>519</v>
    <v>1</v>
    <v>0</v>
    <v>0</v>
    <v>SkywardSpine</v>
  </rv>
  <rv s="2">
    <v>520</v>
    <v>1</v>
    <v>0</v>
    <v>0</v>
    <v>Slingshot</v>
  </rv>
  <rv s="2">
    <v>521</v>
    <v>1</v>
    <v>0</v>
    <v>0</v>
    <v>SnowTombedStarsilver</v>
  </rv>
  <rv s="2">
    <v>522</v>
    <v>1</v>
    <v>0</v>
    <v>0</v>
    <v>SolarPearl</v>
  </rv>
  <rv s="2">
    <v>523</v>
    <v>1</v>
    <v>0</v>
    <v>0</v>
    <v>SongofBrokenPines</v>
  </rv>
  <rv s="2">
    <v>524</v>
    <v>1</v>
    <v>0</v>
    <v>0</v>
    <v>SongofStillness</v>
  </rv>
  <rv s="2">
    <v>525</v>
    <v>1</v>
    <v>0</v>
    <v>0</v>
    <v>SplendorofTranquilWaters</v>
  </rv>
  <rv s="2">
    <v>526</v>
    <v>1</v>
    <v>0</v>
    <v>0</v>
    <v>StaffofHoma</v>
  </rv>
  <rv s="2">
    <v>527</v>
    <v>1</v>
    <v>0</v>
    <v>0</v>
    <v>StaffoftheScarletSands</v>
  </rv>
  <rv s="2">
    <v>528</v>
    <v>1</v>
    <v>0</v>
    <v>0</v>
    <v>SummitShaper</v>
  </rv>
  <rv s="2">
    <v>529</v>
    <v>1</v>
    <v>0</v>
    <v>0</v>
    <v>SwordofDescension</v>
  </rv>
  <rv s="2">
    <v>530</v>
    <v>1</v>
    <v>0</v>
    <v>0</v>
    <v>SwordofNarzissenkreuz</v>
  </rv>
  <rv s="2">
    <v>531</v>
    <v>1</v>
    <v>0</v>
    <v>0</v>
    <v>TalkingStick</v>
  </rv>
  <rv s="2">
    <v>532</v>
    <v>1</v>
    <v>0</v>
    <v>0</v>
    <v>TheAlleyFlash</v>
  </rv>
  <rv s="2">
    <v>533</v>
    <v>1</v>
    <v>0</v>
    <v>0</v>
    <v>TheBell</v>
  </rv>
  <rv s="2">
    <v>534</v>
    <v>1</v>
    <v>0</v>
    <v>0</v>
    <v>TheBlackSword</v>
  </rv>
  <rv s="2">
    <v>535</v>
    <v>1</v>
    <v>0</v>
    <v>0</v>
    <v>TheCatch</v>
  </rv>
  <rv s="2">
    <v>536</v>
    <v>1</v>
    <v>0</v>
    <v>0</v>
    <v>TheDockhandsAssistant</v>
  </rv>
  <rv s="2">
    <v>537</v>
    <v>1</v>
    <v>0</v>
    <v>0</v>
    <v>TheFirstGreatMagic</v>
  </rv>
  <rv s="2">
    <v>538</v>
    <v>1</v>
    <v>0</v>
    <v>0</v>
    <v>TheFlute</v>
  </rv>
  <rv s="2">
    <v>539</v>
    <v>1</v>
    <v>0</v>
    <v>0</v>
    <v>TheStringless</v>
  </rv>
  <rv s="2">
    <v>540</v>
    <v>1</v>
    <v>0</v>
    <v>0</v>
    <v>TheUnforged</v>
  </rv>
  <rv s="2">
    <v>541</v>
    <v>1</v>
    <v>0</v>
    <v>0</v>
    <v>TheViridescentHunt</v>
  </rv>
  <rv s="2">
    <v>542</v>
    <v>1</v>
    <v>0</v>
    <v>0</v>
    <v>TheWidsith</v>
  </rv>
  <rv s="2">
    <v>543</v>
    <v>1</v>
    <v>0</v>
    <v>0</v>
    <v>ThrillingTalesofDragonSlayers</v>
  </rv>
  <rv s="2">
    <v>544</v>
    <v>1</v>
    <v>0</v>
    <v>0</v>
    <v>ThunderingPulse</v>
  </rv>
  <rv s="2">
    <v>545</v>
    <v>1</v>
    <v>0</v>
    <v>0</v>
    <v>TidalShadow</v>
  </rv>
  <rv s="2">
    <v>546</v>
    <v>1</v>
    <v>0</v>
    <v>0</v>
    <v>TomeoftheEternalFlow</v>
  </rv>
  <rv s="2">
    <v>547</v>
    <v>1</v>
    <v>0</v>
    <v>0</v>
    <v>ToukabouShigure</v>
  </rv>
  <rv s="2">
    <v>548</v>
    <v>1</v>
    <v>0</v>
    <v>0</v>
    <v>TravelersHandySword</v>
  </rv>
  <rv s="2">
    <v>549</v>
    <v>1</v>
    <v>0</v>
    <v>0</v>
    <v>TulaytullahsRemembrance</v>
  </rv>
  <rv s="2">
    <v>550</v>
    <v>1</v>
    <v>0</v>
    <v>0</v>
    <v>TwinNephrite</v>
  </rv>
  <rv s="2">
    <v>551</v>
    <v>1</v>
    <v>0</v>
    <v>0</v>
    <v>UltimateOverlordsMegaMagicSword</v>
  </rv>
  <rv s="2">
    <v>552</v>
    <v>1</v>
    <v>0</v>
    <v>0</v>
    <v>UrakuMisugiri</v>
  </rv>
  <rv s="2">
    <v>553</v>
    <v>1</v>
    <v>0</v>
    <v>0</v>
    <v>Verdict</v>
  </rv>
  <rv s="2">
    <v>554</v>
    <v>1</v>
    <v>0</v>
    <v>0</v>
    <v>VortexVanquisher</v>
  </rv>
  <rv s="2">
    <v>555</v>
    <v>1</v>
    <v>0</v>
    <v>0</v>
    <v>WanderingEvenstar</v>
  </rv>
  <rv s="2">
    <v>556</v>
    <v>1</v>
    <v>0</v>
    <v>0</v>
    <v>WavebreakersFin</v>
  </rv>
  <rv s="2">
    <v>557</v>
    <v>1</v>
    <v>0</v>
    <v>0</v>
    <v>Whiteblind</v>
  </rv>
  <rv s="2">
    <v>558</v>
    <v>1</v>
    <v>0</v>
    <v>0</v>
    <v>WhiteIronGreatsword</v>
  </rv>
  <rv s="2">
    <v>559</v>
    <v>1</v>
    <v>0</v>
    <v>0</v>
    <v>WhiteTassel</v>
  </rv>
  <rv s="2">
    <v>560</v>
    <v>1</v>
    <v>0</v>
    <v>0</v>
    <v>WindblumeOde</v>
  </rv>
  <rv s="2">
    <v>561</v>
    <v>1</v>
    <v>0</v>
    <v>0</v>
    <v>WineandSong</v>
  </rv>
  <rv s="2">
    <v>562</v>
    <v>1</v>
    <v>0</v>
    <v>0</v>
    <v>WolfFang</v>
  </rv>
  <rv s="2">
    <v>563</v>
    <v>1</v>
    <v>0</v>
    <v>0</v>
    <v>WolfsGravestone</v>
  </rv>
  <rv s="2">
    <v>564</v>
    <v>1</v>
    <v>0</v>
    <v>0</v>
    <v>XiphosMoonlight</v>
  </rv>
  <rv s="2">
    <v>0</v>
    <v>4</v>
    <v>0</v>
    <v>0</v>
    <v>HerosWit</v>
  </rv>
  <rv s="2">
    <v>13</v>
    <v>4</v>
    <v>0</v>
    <v>0</v>
    <v>SlimeSecretions</v>
  </rv>
  <rv s="2">
    <v>14</v>
    <v>4</v>
    <v>0</v>
    <v>0</v>
    <v>SlimeCondensate</v>
  </rv>
  <rv s="2">
    <v>18</v>
    <v>4</v>
    <v>0</v>
    <v>0</v>
    <v>Mora</v>
  </rv>
  <rv s="2">
    <v>22</v>
    <v>4</v>
    <v>0</v>
    <v>0</v>
    <v>MysticEnhancementOre</v>
  </rv>
  <rv s="2">
    <v>34</v>
    <v>4</v>
    <v>0</v>
    <v>0</v>
    <v>StainedMask</v>
  </rv>
  <rv s="2">
    <v>35</v>
    <v>4</v>
    <v>0</v>
    <v>0</v>
    <v>DamagedMask</v>
  </rv>
  <rv s="2">
    <v>36</v>
    <v>4</v>
    <v>0</v>
    <v>0</v>
    <v>GuidetoFreedom</v>
  </rv>
  <rv s="2">
    <v>38</v>
    <v>4</v>
    <v>0</v>
    <v>0</v>
    <v>BrilliantDiamondChunk</v>
  </rv>
  <rv s="2">
    <v>39</v>
    <v>4</v>
    <v>0</v>
    <v>0</v>
    <v>CrownofInsight</v>
  </rv>
  <rv s="2">
    <v>43</v>
    <v>4</v>
    <v>0</v>
    <v>0</v>
    <v>FineEnhancementOre</v>
  </rv>
  <rv s="2">
    <v>53</v>
    <v>4</v>
    <v>0</v>
    <v>0</v>
    <v>SealedScroll</v>
  </rv>
  <rv s="2">
    <v>54</v>
    <v>4</v>
    <v>0</v>
    <v>0</v>
    <v>DiviningScroll</v>
  </rv>
  <rv s="2">
    <v>55</v>
    <v>4</v>
    <v>0</v>
    <v>0</v>
    <v>TeachingsofFreedom</v>
  </rv>
  <rv s="2">
    <v>56</v>
    <v>4</v>
    <v>0</v>
    <v>0</v>
    <v>BrilliantDiamondFragment</v>
  </rv>
  <rv s="2">
    <v>57</v>
    <v>4</v>
    <v>0</v>
    <v>0</v>
    <v>DreamSolvent</v>
  </rv>
  <rv s="2">
    <v>62</v>
    <v>4</v>
    <v>0</v>
    <v>0</v>
    <v>EnhancementOre</v>
  </rv>
  <rv s="2">
    <v>71</v>
    <v>4</v>
    <v>0</v>
    <v>0</v>
    <v>SharpArrowhead</v>
  </rv>
  <rv s="2">
    <v>72</v>
    <v>4</v>
    <v>0</v>
    <v>0</v>
    <v>FirmArrowhead</v>
  </rv>
  <rv s="2">
    <v>73</v>
    <v>4</v>
    <v>0</v>
    <v>0</v>
    <v>BrilliantDiamondSilver</v>
  </rv>
  <rv s="2">
    <v>88</v>
    <v>4</v>
    <v>0</v>
    <v>0</v>
    <v>SergeantsInsignia</v>
  </rv>
  <rv s="2">
    <v>89</v>
    <v>4</v>
    <v>0</v>
    <v>0</v>
    <v>RecruitsInsignia</v>
  </rv>
  <rv s="2">
    <v>90</v>
    <v>4</v>
    <v>0</v>
    <v>0</v>
    <v>GuidetoResistance</v>
  </rv>
  <rv s="2">
    <v>104</v>
    <v>4</v>
    <v>0</v>
    <v>0</v>
    <v>SilverRavenInsignia</v>
  </rv>
  <rv s="2">
    <v>105</v>
    <v>4</v>
    <v>0</v>
    <v>0</v>
    <v>TreasureHoarderInsignia</v>
  </rv>
  <rv s="2">
    <v>106</v>
    <v>4</v>
    <v>0</v>
    <v>0</v>
    <v>TeachingsofResistance</v>
  </rv>
  <rv s="2">
    <v>108</v>
    <v>4</v>
    <v>0</v>
    <v>0</v>
    <v>AgnidusAgateChunk</v>
  </rv>
  <rv s="2">
    <v>116</v>
    <v>4</v>
    <v>0</v>
    <v>0</v>
    <v>ShimmeringNectar</v>
  </rv>
  <rv s="2">
    <v>117</v>
    <v>4</v>
    <v>0</v>
    <v>0</v>
    <v>WhopperflowerNectar</v>
  </rv>
  <rv s="2">
    <v>119</v>
    <v>4</v>
    <v>0</v>
    <v>0</v>
    <v>AgnidusAgateFragment</v>
  </rv>
  <rv s="2">
    <v>132</v>
    <v>4</v>
    <v>0</v>
    <v>0</v>
    <v>KageuchiHandguard</v>
  </rv>
  <rv s="2">
    <v>133</v>
    <v>4</v>
    <v>0</v>
    <v>0</v>
    <v>OldHandguard</v>
  </rv>
  <rv s="2">
    <v>134</v>
    <v>4</v>
    <v>0</v>
    <v>0</v>
    <v>GuidetoBallad</v>
  </rv>
  <rv s="2">
    <v>135</v>
    <v>4</v>
    <v>0</v>
    <v>0</v>
    <v>AgnidusAgateSilver</v>
  </rv>
  <rv s="2">
    <v>142</v>
    <v>4</v>
    <v>0</v>
    <v>0</v>
    <v>SpectralHeart</v>
  </rv>
  <rv s="2">
    <v>143</v>
    <v>4</v>
    <v>0</v>
    <v>0</v>
    <v>SpectralHusk</v>
  </rv>
  <rv s="2">
    <v>144</v>
    <v>4</v>
    <v>0</v>
    <v>0</v>
    <v>TeachingsofBallad</v>
  </rv>
  <rv s="2">
    <v>155</v>
    <v>4</v>
    <v>0</v>
    <v>0</v>
    <v>LuminescentPollen</v>
  </rv>
  <rv s="2">
    <v>156</v>
    <v>4</v>
    <v>0</v>
    <v>0</v>
    <v>FungalSpores</v>
  </rv>
  <rv s="2">
    <v>159</v>
    <v>4</v>
    <v>0</v>
    <v>0</v>
    <v>VarunadaLazuriteChunk</v>
  </rv>
  <rv s="2">
    <v>166</v>
    <v>4</v>
    <v>0</v>
    <v>0</v>
    <v>TrimmedRedSilk</v>
  </rv>
  <rv s="2">
    <v>167</v>
    <v>4</v>
    <v>0</v>
    <v>0</v>
    <v>FadedRedSatin</v>
  </rv>
  <rv s="2">
    <v>168</v>
    <v>4</v>
    <v>0</v>
    <v>0</v>
    <v>GuidetoProsperity</v>
  </rv>
  <rv s="2">
    <v>170</v>
    <v>4</v>
    <v>0</v>
    <v>0</v>
    <v>VarunadaLazuriteFragment</v>
  </rv>
  <rv s="2">
    <v>175</v>
    <v>4</v>
    <v>0</v>
    <v>0</v>
    <v>TransoceanicChunk</v>
  </rv>
  <rv s="2">
    <v>176</v>
    <v>4</v>
    <v>0</v>
    <v>0</v>
    <v>TransoceanicPearl</v>
  </rv>
  <rv s="2">
    <v>177</v>
    <v>4</v>
    <v>0</v>
    <v>0</v>
    <v>TeachingsofProsperity</v>
  </rv>
  <rv s="2">
    <v>179</v>
    <v>4</v>
    <v>0</v>
    <v>0</v>
    <v>VarunadaLazuriteSilver</v>
  </rv>
  <rv s="2">
    <v>189</v>
    <v>4</v>
    <v>0</v>
    <v>0</v>
    <v>MechanicalSpurGear</v>
  </rv>
  <rv s="2">
    <v>190</v>
    <v>4</v>
    <v>0</v>
    <v>0</v>
    <v>MeshingGear</v>
  </rv>
  <rv s="2">
    <v>200</v>
    <v>4</v>
    <v>0</v>
    <v>0</v>
    <v>GuidetoDiligence</v>
  </rv>
  <rv s="2">
    <v>202</v>
    <v>4</v>
    <v>0</v>
    <v>0</v>
    <v>NagadusEmeraldChunk</v>
  </rv>
  <rv s="2">
    <v>210</v>
    <v>4</v>
    <v>0</v>
    <v>0</v>
    <v>TeachingsofDiligence</v>
  </rv>
  <rv s="2">
    <v>212</v>
    <v>4</v>
    <v>0</v>
    <v>0</v>
    <v>NagadusEmeraldFragment</v>
  </rv>
  <rv s="2">
    <v>219</v>
    <v>4</v>
    <v>0</v>
    <v>0</v>
    <v>NagadusEmeraldSilver</v>
  </rv>
  <rv s="2">
    <v>226</v>
    <v>4</v>
    <v>0</v>
    <v>0</v>
    <v>GuidetoGold</v>
  </rv>
  <rv s="2">
    <v>233</v>
    <v>4</v>
    <v>0</v>
    <v>0</v>
    <v>TeachingsofGold</v>
  </rv>
  <rv s="2">
    <v>235</v>
    <v>4</v>
    <v>0</v>
    <v>0</v>
    <v>VajradaAmethystChunk</v>
  </rv>
  <rv s="2">
    <v>240</v>
    <v>4</v>
    <v>0</v>
    <v>0</v>
    <v>VajradaAmethystFragment</v>
  </rv>
  <rv s="2">
    <v>245</v>
    <v>4</v>
    <v>0</v>
    <v>0</v>
    <v>GuidetoTransience</v>
  </rv>
  <rv s="2">
    <v>247</v>
    <v>4</v>
    <v>0</v>
    <v>0</v>
    <v>VajradaAmethystSilver</v>
  </rv>
  <rv s="2">
    <v>253</v>
    <v>4</v>
    <v>0</v>
    <v>0</v>
    <v>TeachingsofTransience</v>
  </rv>
  <rv s="2">
    <v>259</v>
    <v>4</v>
    <v>0</v>
    <v>0</v>
    <v>VayudaTurquoiseChunk</v>
  </rv>
  <rv s="2">
    <v>264</v>
    <v>4</v>
    <v>0</v>
    <v>0</v>
    <v>GuidetoElegance</v>
  </rv>
  <rv s="2">
    <v>265</v>
    <v>4</v>
    <v>0</v>
    <v>0</v>
    <v>VayudaTurquoiseFragment</v>
  </rv>
  <rv s="2">
    <v>269</v>
    <v>4</v>
    <v>0</v>
    <v>0</v>
    <v>TeachingsofElegance</v>
  </rv>
  <rv s="2">
    <v>271</v>
    <v>4</v>
    <v>0</v>
    <v>0</v>
    <v>VayudaTurquoiseSilver</v>
  </rv>
  <rv s="2">
    <v>281</v>
    <v>4</v>
    <v>0</v>
    <v>0</v>
    <v>GuidetoLight</v>
  </rv>
  <rv s="2">
    <v>283</v>
    <v>4</v>
    <v>0</v>
    <v>0</v>
    <v>ShivadaJadeChunk</v>
  </rv>
  <rv s="2">
    <v>289</v>
    <v>4</v>
    <v>0</v>
    <v>0</v>
    <v>TeachingsofLight</v>
  </rv>
  <rv s="2">
    <v>290</v>
    <v>4</v>
    <v>0</v>
    <v>0</v>
    <v>ShivadaJadeFragment</v>
  </rv>
  <rv s="2">
    <v>296</v>
    <v>4</v>
    <v>0</v>
    <v>0</v>
    <v>ShivadaJadeSilver</v>
  </rv>
  <rv s="2">
    <v>300</v>
    <v>4</v>
    <v>0</v>
    <v>0</v>
    <v>SilkenFeather</v>
  </rv>
  <rv s="2">
    <v>301</v>
    <v>4</v>
    <v>0</v>
    <v>0</v>
    <v>GuidetoAdmonition</v>
  </rv>
  <rv s="2">
    <v>306</v>
    <v>4</v>
    <v>0</v>
    <v>0</v>
    <v>DenialandJudgment</v>
  </rv>
  <rv s="2">
    <v>307</v>
    <v>4</v>
    <v>0</v>
    <v>0</v>
    <v>TeachingsofAdmonition</v>
  </rv>
  <rv s="2">
    <v>309</v>
    <v>4</v>
    <v>0</v>
    <v>0</v>
    <v>PrithivaTopazChunk</v>
  </rv>
  <rv s="2">
    <v>314</v>
    <v>4</v>
    <v>0</v>
    <v>0</v>
    <v>PrithivaTopazFragment</v>
  </rv>
  <rv s="2">
    <v>318</v>
    <v>4</v>
    <v>0</v>
    <v>0</v>
    <v>GuidetoIngenuity</v>
  </rv>
  <rv s="2">
    <v>319</v>
    <v>4</v>
    <v>0</v>
    <v>0</v>
    <v>PrithivaTopazSilver</v>
  </rv>
  <rv s="2">
    <v>323</v>
    <v>4</v>
    <v>0</v>
    <v>0</v>
    <v>TeachingsofIngenuity</v>
  </rv>
  <rv s="2">
    <v>334</v>
    <v>4</v>
    <v>0</v>
    <v>0</v>
    <v>GuidetoPraxis</v>
  </rv>
  <rv s="2">
    <v>339</v>
    <v>4</v>
    <v>0</v>
    <v>0</v>
    <v>TeachingsofPraxis</v>
  </rv>
  <rv s="2">
    <v>348</v>
    <v>4</v>
    <v>0</v>
    <v>0</v>
    <v>GuidetoEquity</v>
  </rv>
  <rv s="2">
    <v>352</v>
    <v>4</v>
    <v>0</v>
    <v>0</v>
    <v>TeachingsofEquity</v>
  </rv>
  <rv s="2">
    <v>359</v>
    <v>4</v>
    <v>0</v>
    <v>0</v>
    <v>GuidetoJustice</v>
  </rv>
  <rv s="2">
    <v>363</v>
    <v>4</v>
    <v>0</v>
    <v>0</v>
    <v>TeachingsofJustice</v>
  </rv>
  <rv s="2">
    <v>372</v>
    <v>4</v>
    <v>0</v>
    <v>0</v>
    <v>GuidetoOrder</v>
  </rv>
  <rv s="2">
    <v>376</v>
    <v>4</v>
    <v>0</v>
    <v>0</v>
    <v>TeachingsofOrder</v>
  </rv>
  <rv s="2">
    <v>1</v>
    <v>4</v>
    <v>0</v>
    <v>0</v>
    <v>Albedo</v>
  </rv>
  <rv s="2">
    <v>23</v>
    <v>4</v>
    <v>0</v>
    <v>0</v>
    <v>Alhaitham</v>
  </rv>
  <rv s="2">
    <v>274</v>
    <v>4</v>
    <v>0</v>
    <v>0</v>
    <v>Aloy</v>
  </rv>
  <rv s="2">
    <v>278</v>
    <v>4</v>
    <v>0</v>
    <v>0</v>
    <v>Amber</v>
  </rv>
  <rv s="2">
    <v>358</v>
    <v>4</v>
    <v>0</v>
    <v>0</v>
    <v>AratakiItto</v>
  </rv>
  <rv s="2">
    <v>409</v>
    <v>4</v>
    <v>0</v>
    <v>0</v>
    <v>Arlecchino</v>
  </rv>
  <rv s="2">
    <v>412</v>
    <v>4</v>
    <v>0</v>
    <v>0</v>
    <v>Baizhu</v>
  </rv>
  <rv s="2">
    <v>415</v>
    <v>4</v>
    <v>0</v>
    <v>0</v>
    <v>Barbara</v>
  </rv>
  <rv s="2">
    <v>362</v>
    <v>4</v>
    <v>0</v>
    <v>0</v>
    <v>Beidou</v>
  </rv>
  <rv s="2">
    <v>44</v>
    <v>4</v>
    <v>0</v>
    <v>0</v>
    <v>Bennett</v>
  </rv>
  <rv s="2">
    <v>450</v>
    <v>4</v>
    <v>0</v>
    <v>0</v>
    <v>Candace</v>
  </rv>
  <rv s="2">
    <v>418</v>
    <v>4</v>
    <v>0</v>
    <v>0</v>
    <v>Charlotte</v>
  </rv>
  <rv s="2">
    <v>452</v>
    <v>4</v>
    <v>0</v>
    <v>0</v>
    <v>Chevreuse</v>
  </rv>
  <rv s="2">
    <v>63</v>
    <v>4</v>
    <v>0</v>
    <v>0</v>
    <v>Chiori</v>
  </rv>
  <rv s="2">
    <v>367</v>
    <v>4</v>
    <v>0</v>
    <v>0</v>
    <v>Chongyun</v>
  </rv>
  <rv s="2">
    <v>78</v>
    <v>4</v>
    <v>0</v>
    <v>0</v>
    <v>Clorinde</v>
  </rv>
  <rv s="2">
    <v>286</v>
    <v>4</v>
    <v>0</v>
    <v>0</v>
    <v>Collei</v>
  </rv>
  <rv s="2">
    <v>454</v>
    <v>4</v>
    <v>0</v>
    <v>0</v>
    <v>Cyno</v>
  </rv>
  <rv s="2">
    <v>371</v>
    <v>4</v>
    <v>0</v>
    <v>0</v>
    <v>Dehya</v>
  </rv>
  <rv s="2">
    <v>375</v>
    <v>4</v>
    <v>0</v>
    <v>0</v>
    <v>Diluc</v>
  </rv>
  <rv s="2">
    <v>293</v>
    <v>4</v>
    <v>0</v>
    <v>0</v>
    <v>Diona</v>
  </rv>
  <rv s="2">
    <v>379</v>
    <v>4</v>
    <v>0</v>
    <v>0</v>
    <v>Dori</v>
  </rv>
  <rv s="2">
    <v>382</v>
    <v>4</v>
    <v>0</v>
    <v>0</v>
    <v>Eula</v>
  </rv>
  <rv s="2">
    <v>299</v>
    <v>4</v>
    <v>0</v>
    <v>0</v>
    <v>Faruzan</v>
  </rv>
  <rv s="2">
    <v>304</v>
    <v>4</v>
    <v>0</v>
    <v>0</v>
    <v>Fischl</v>
  </rv>
  <rv s="2">
    <v>385</v>
    <v>4</v>
    <v>0</v>
    <v>0</v>
    <v>Freminet</v>
  </rv>
  <rv s="2">
    <v>97</v>
    <v>4</v>
    <v>0</v>
    <v>0</v>
    <v>Furina</v>
  </rv>
  <rv s="2">
    <v>388</v>
    <v>4</v>
    <v>0</v>
    <v>0</v>
    <v>Gaming</v>
  </rv>
  <rv s="2">
    <v>312</v>
    <v>4</v>
    <v>0</v>
    <v>0</v>
    <v>Ganyu</v>
  </rv>
  <rv s="2">
    <v>317</v>
    <v>4</v>
    <v>0</v>
    <v>0</v>
    <v>Gorou</v>
  </rv>
  <rv s="2">
    <v>456</v>
    <v>4</v>
    <v>0</v>
    <v>0</v>
    <v>HuTao</v>
  </rv>
  <rv s="2">
    <v>112</v>
    <v>4</v>
    <v>0</v>
    <v>0</v>
    <v>Jean</v>
  </rv>
  <rv s="2">
    <v>139</v>
    <v>4</v>
    <v>0</v>
    <v>0</v>
    <v>Kaeya</v>
  </rv>
  <rv s="2">
    <v>148</v>
    <v>4</v>
    <v>0</v>
    <v>0</v>
    <v>KamisatoAyaka</v>
  </rv>
  <rv s="2">
    <v>162</v>
    <v>4</v>
    <v>0</v>
    <v>0</v>
    <v>KamisatoAyato</v>
  </rv>
  <rv s="2">
    <v>391</v>
    <v>4</v>
    <v>0</v>
    <v>0</v>
    <v>Kaveh</v>
  </rv>
  <rv s="2">
    <v>124</v>
    <v>4</v>
    <v>0</v>
    <v>0</v>
    <v>KaedeharaKazuha</v>
  </rv>
  <rv s="2">
    <v>173</v>
    <v>4</v>
    <v>0</v>
    <v>0</v>
    <v>Keqing</v>
  </rv>
  <rv s="2">
    <v>182</v>
    <v>4</v>
    <v>0</v>
    <v>0</v>
    <v>Kirara</v>
  </rv>
  <rv s="2">
    <v>421</v>
    <v>4</v>
    <v>0</v>
    <v>0</v>
    <v>Klee</v>
  </rv>
  <rv s="2">
    <v>322</v>
    <v>4</v>
    <v>0</v>
    <v>0</v>
    <v>KujouSara</v>
  </rv>
  <rv s="2">
    <v>194</v>
    <v>4</v>
    <v>0</v>
    <v>0</v>
    <v>KukiShinobu</v>
  </rv>
  <rv s="2">
    <v>205</v>
    <v>4</v>
    <v>0</v>
    <v>0</v>
    <v>Layla</v>
  </rv>
  <rv s="2">
    <v>424</v>
    <v>4</v>
    <v>0</v>
    <v>0</v>
    <v>Lisa</v>
  </rv>
  <rv s="2">
    <v>215</v>
    <v>4</v>
    <v>0</v>
    <v>0</v>
    <v>Lynette</v>
  </rv>
  <rv s="2">
    <v>327</v>
    <v>4</v>
    <v>0</v>
    <v>0</v>
    <v>Lyney</v>
  </rv>
  <rv s="2">
    <v>458</v>
    <v>4</v>
    <v>0</v>
    <v>0</v>
    <v>Mika</v>
  </rv>
  <rv s="2">
    <v>426</v>
    <v>4</v>
    <v>0</v>
    <v>0</v>
    <v>Mona</v>
  </rv>
  <rv s="2">
    <v>428</v>
    <v>4</v>
    <v>0</v>
    <v>0</v>
    <v>Nahida</v>
  </rv>
  <rv s="2">
    <v>394</v>
    <v>4</v>
    <v>0</v>
    <v>0</v>
    <v>Navia</v>
  </rv>
  <rv s="2">
    <v>430</v>
    <v>4</v>
    <v>0</v>
    <v>0</v>
    <v>Neuvillette</v>
  </rv>
  <rv s="2">
    <v>222</v>
    <v>4</v>
    <v>0</v>
    <v>0</v>
    <v>Nilou</v>
  </rv>
  <rv s="2">
    <v>432</v>
    <v>4</v>
    <v>0</v>
    <v>0</v>
    <v>Ningguang</v>
  </rv>
  <rv s="2">
    <v>397</v>
    <v>4</v>
    <v>0</v>
    <v>0</v>
    <v>Noelle</v>
  </rv>
  <rv s="2">
    <v>230</v>
    <v>4</v>
    <v>0</v>
    <v>0</v>
    <v>Qiqi</v>
  </rv>
  <rv s="2">
    <v>460</v>
    <v>4</v>
    <v>0</v>
    <v>0</v>
    <v>RaidenShogun</v>
  </rv>
  <rv s="2">
    <v>400</v>
    <v>4</v>
    <v>0</v>
    <v>0</v>
    <v>Razor</v>
  </rv>
  <rv s="2">
    <v>462</v>
    <v>4</v>
    <v>0</v>
    <v>0</v>
    <v>Rosaria</v>
  </rv>
  <rv s="2">
    <v>434</v>
    <v>4</v>
    <v>0</v>
    <v>0</v>
    <v>SangonomiyaKokomi</v>
  </rv>
  <rv s="2">
    <v>403</v>
    <v>4</v>
    <v>0</v>
    <v>0</v>
    <v>Sayu</v>
  </rv>
  <rv s="2">
    <v>333</v>
    <v>4</v>
    <v>0</v>
    <v>0</v>
    <v>Sethos</v>
  </rv>
  <rv s="2">
    <v>464</v>
    <v>4</v>
    <v>0</v>
    <v>0</v>
    <v>Shenhe</v>
  </rv>
  <rv s="2">
    <v>436</v>
    <v>4</v>
    <v>0</v>
    <v>0</v>
    <v>ShikanoinHeizou</v>
  </rv>
  <rv s="2">
    <v>438</v>
    <v>4</v>
    <v>0</v>
    <v>0</v>
    <v>Sucrose</v>
  </rv>
  <rv s="2">
    <v>338</v>
    <v>4</v>
    <v>0</v>
    <v>0</v>
    <v>Tartaglia</v>
  </rv>
  <rv s="2">
    <v>466</v>
    <v>4</v>
    <v>0</v>
    <v>0</v>
    <v>Thoma</v>
  </rv>
  <rv s="2">
    <v>343</v>
    <v>4</v>
    <v>0</v>
    <v>0</v>
    <v>Tighnari</v>
  </rv>
  <rv s="2">
    <v>257</v>
    <v>4</v>
    <v>0</v>
    <v>0</v>
    <v>TravelerDendro</v>
  </rv>
  <rv s="2">
    <v>250</v>
    <v>4</v>
    <v>0</v>
    <v>0</v>
    <v>TravelerElectro</v>
  </rv>
  <rv s="2">
    <v>243</v>
    <v>4</v>
    <v>0</v>
    <v>0</v>
    <v>TravelerGeo</v>
  </rv>
  <rv s="2">
    <v>262</v>
    <v>4</v>
    <v>0</v>
    <v>0</v>
    <v>TravelerHydro</v>
  </rv>
  <rv s="2">
    <v>238</v>
    <v>4</v>
    <v>0</v>
    <v>0</v>
    <v>TravelerAnemo</v>
  </rv>
  <rv s="2">
    <v>347</v>
    <v>4</v>
    <v>0</v>
    <v>0</v>
    <v>Venti</v>
  </rv>
  <rv s="2">
    <v>440</v>
    <v>4</v>
    <v>0</v>
    <v>0</v>
    <v>Wanderer</v>
  </rv>
  <rv s="2">
    <v>442</v>
    <v>4</v>
    <v>0</v>
    <v>0</v>
    <v>Wriothesley</v>
  </rv>
  <rv s="2">
    <v>468</v>
    <v>4</v>
    <v>0</v>
    <v>0</v>
    <v>Xiangling</v>
  </rv>
  <rv s="2">
    <v>444</v>
    <v>4</v>
    <v>0</v>
    <v>0</v>
    <v>Xianyun</v>
  </rv>
  <rv s="2">
    <v>470</v>
    <v>4</v>
    <v>0</v>
    <v>0</v>
    <v>Xiao</v>
  </rv>
  <rv s="2">
    <v>268</v>
    <v>4</v>
    <v>0</v>
    <v>0</v>
    <v>Xingqiu</v>
  </rv>
  <rv s="2">
    <v>406</v>
    <v>4</v>
    <v>0</v>
    <v>0</v>
    <v>Xinyan</v>
  </rv>
  <rv s="2">
    <v>446</v>
    <v>4</v>
    <v>0</v>
    <v>0</v>
    <v>YaeMiko</v>
  </rv>
  <rv s="2">
    <v>448</v>
    <v>4</v>
    <v>0</v>
    <v>0</v>
    <v>Yanfei</v>
  </rv>
  <rv s="2">
    <v>472</v>
    <v>4</v>
    <v>0</v>
    <v>0</v>
    <v>Yaoyao</v>
  </rv>
  <rv s="2">
    <v>351</v>
    <v>4</v>
    <v>0</v>
    <v>0</v>
    <v>Yelan</v>
  </rv>
  <rv s="2">
    <v>355</v>
    <v>4</v>
    <v>0</v>
    <v>0</v>
    <v>Yoimiya</v>
  </rv>
  <rv s="2">
    <v>474</v>
    <v>4</v>
    <v>0</v>
    <v>0</v>
    <v>YunJin</v>
  </rv>
  <rv s="2">
    <v>476</v>
    <v>4</v>
    <v>0</v>
    <v>0</v>
    <v>Zhongli</v>
  </rv>
</rvData>
</file>

<file path=xl/richData/rdrichvaluestructure.xml><?xml version="1.0" encoding="utf-8"?>
<rvStructures xmlns="http://schemas.microsoft.com/office/spreadsheetml/2017/richdata" count="3">
  <s t="_webimage">
    <k n="WebImageIdentifier" t="i"/>
    <k n="CalcOrigin" t="i"/>
    <k n="ComputedImage" t="b"/>
    <k n="ImageSizing" t="i"/>
    <k n="Text" t="s"/>
  </s>
  <s t="_error">
    <k n="errorType" t="i"/>
    <k n="propagated" t="b"/>
  </s>
  <s t="_webimage">
    <k n="WebImageIdentifier" t="i"/>
    <k n="CalcOrigin" t="i"/>
    <k n="ComputedImage" t="b"/>
    <k n="ImageSizing" t="i"/>
    <k n="Text" t="s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19E713-DCE7-4364-B031-B1770EA58D46}" name="CharacterDatabase" displayName="CharacterDatabase" ref="A1:L91" totalsRowShown="0">
  <autoFilter ref="A1:L91" xr:uid="{EC19E713-DCE7-4364-B031-B1770EA58D46}"/>
  <tableColumns count="12">
    <tableColumn id="1" xr3:uid="{84171DD1-DE88-4A1E-879B-7195BDD0B7E2}" name="Levels"/>
    <tableColumn id="2" xr3:uid="{E5FFCB26-BF33-49E4-998A-5888802C1DFA}" name="Mora"/>
    <tableColumn id="3" xr3:uid="{CCE6E3E6-4E2F-45E7-A590-C272597B485E}" name="HerosWits"/>
    <tableColumn id="4" xr3:uid="{32BB7763-3DC7-4E8A-9E50-05CD4E83A2C0}" name="LocalSpecialties"/>
    <tableColumn id="5" xr3:uid="{8916A1E8-9E96-4511-950E-CCF9177DA62E}" name="Silver"/>
    <tableColumn id="6" xr3:uid="{2BA4F359-DB71-471E-9F97-44AB02C8F333}" name="Fragment"/>
    <tableColumn id="8" xr3:uid="{2F4C48BB-D75D-4C4C-901B-5598C2E736E6}" name="Chunk"/>
    <tableColumn id="7" xr3:uid="{8C5C0C59-25F3-41BC-9CA7-34A9A64D9084}" name="Gemstone"/>
    <tableColumn id="9" xr3:uid="{6021F9A2-DCC2-419E-89F0-8E0983B52B60}" name="1* Mats"/>
    <tableColumn id="10" xr3:uid="{8BB6DCBD-1D3E-4532-80C1-D79396470BE7}" name="2* Mats"/>
    <tableColumn id="11" xr3:uid="{F0B19325-B09D-4EC0-9C4B-43259B5CFEFA}" name="3* Mats"/>
    <tableColumn id="12" xr3:uid="{3B032DC8-9245-4E5F-9143-98B57308A3A5}" name="Boss Ma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2F7D90-0D3C-4FF8-A983-59BAEFD7285D}" name="TalentDatabase" displayName="TalentDatabase" ref="N1:W11" totalsRowShown="0">
  <autoFilter ref="N1:W11" xr:uid="{3E2F7D90-0D3C-4FF8-A983-59BAEFD7285D}"/>
  <tableColumns count="10">
    <tableColumn id="1" xr3:uid="{45BC27EB-DDBE-433A-AF23-AFDA85B8ADDF}" name="Talent Level"/>
    <tableColumn id="2" xr3:uid="{C35B7134-71A2-4043-A64B-E9AF97714D90}" name="Mora"/>
    <tableColumn id="3" xr3:uid="{5B69D4FA-7280-452A-8F30-BA8199F0A0CB}" name="2* Books"/>
    <tableColumn id="4" xr3:uid="{E3E56706-9215-498F-B139-B4B877E09E19}" name="3* Books"/>
    <tableColumn id="5" xr3:uid="{9A4C0AF4-8D86-48FB-983E-C6C76F2BE507}" name="4* Books"/>
    <tableColumn id="6" xr3:uid="{682E8C31-24E9-47EF-8A72-2A8AB5A4A4BE}" name="1* Mats"/>
    <tableColumn id="7" xr3:uid="{48FE4ED2-A012-47ED-9639-324CAA0694B7}" name="2* Mats"/>
    <tableColumn id="8" xr3:uid="{BA2DE225-2524-47F3-9CEC-DC498B2E4D22}" name="3* Mats"/>
    <tableColumn id="9" xr3:uid="{50AA2E31-EB63-431F-8C33-4D7CC9B3AA78}" name="Weekly Boss Mats"/>
    <tableColumn id="10" xr3:uid="{C80E699B-9179-456B-8B8E-C3986024A758}" name="Crow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20D8DEB-90FF-455C-90C3-295E7737CAF7}" name="ExperienceImg" displayName="ExperienceImg" ref="A2:B6" totalsRowShown="0" headerRowDxfId="476" dataDxfId="475">
  <autoFilter ref="A2:B6" xr:uid="{F20D8DEB-90FF-455C-90C3-295E7737CAF7}"/>
  <tableColumns count="2">
    <tableColumn id="1" xr3:uid="{64F03A41-F93A-49D5-92A0-88AE43229642}" name="Icon" dataDxfId="474">
      <calculatedColumnFormula>_xlfn.IMAGE(_xlfn.CONCAT("https://raw.githubusercontent.com/ItsCryp7iC/Genshin-Image-Hosting/main/",A$1,"/",ExperienceImg[[#This Row],[Name]],".png"),ExperienceImg[[#This Row],[Name]])</calculatedColumnFormula>
    </tableColumn>
    <tableColumn id="2" xr3:uid="{079531D8-FFD6-4BFD-9AE3-36BE5EA2A4F5}" name="Name" dataDxfId="47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71FC162-B430-4704-BBFD-A691624963BF}" name="WorldBossImg" displayName="WorldBossImg" ref="P2:R33" totalsRowShown="0" headerRowDxfId="472" dataDxfId="471">
  <autoFilter ref="P2:R33" xr:uid="{471FC162-B430-4704-BBFD-A691624963BF}"/>
  <tableColumns count="3">
    <tableColumn id="1" xr3:uid="{3277339E-1133-4913-BB4F-1AC15D415C0C}" name="Icon" dataDxfId="470">
      <calculatedColumnFormula>_xlfn.IMAGE(_xlfn.CONCAT("https://raw.githubusercontent.com/ItsCryp7iC/Genshin-Image-Hosting/main/",P$1,"/",WorldBossImg[[#This Row],[Name]],".png"),WorldBossImg[[#This Row],[Name]])</calculatedColumnFormula>
    </tableColumn>
    <tableColumn id="3" xr3:uid="{B819A49D-9BA8-4A23-A3AB-E14EF4676B73}" name="Boss Name" dataDxfId="469"/>
    <tableColumn id="2" xr3:uid="{E39AA9A9-AEA7-418E-A2B3-0E45DCD84BCE}" name="Name" dataDxfId="46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0C4DF60-7933-46BC-89ED-69A9036A2D91}" name="WeeklyBossImg" displayName="WeeklyBossImg" ref="T2:V32" totalsRowShown="0" headerRowDxfId="467" dataDxfId="466">
  <autoFilter ref="T2:V32" xr:uid="{D0C4DF60-7933-46BC-89ED-69A9036A2D91}"/>
  <tableColumns count="3">
    <tableColumn id="1" xr3:uid="{AD4B7A33-55D0-4E8E-9EDC-3EBC968E101E}" name="Icon" dataDxfId="465">
      <calculatedColumnFormula>_xlfn.IMAGE(_xlfn.CONCAT("https://raw.githubusercontent.com/ItsCryp7iC/Genshin-Image-Hosting/main/",T$1,"/",WeeklyBossImg[[#This Row],[Name]],".png"),WeeklyBossImg[[#This Row],[Name]])</calculatedColumnFormula>
    </tableColumn>
    <tableColumn id="3" xr3:uid="{A446ED41-09B0-449E-B189-8FF8D8B28F55}" name="Boss Name" dataDxfId="464"/>
    <tableColumn id="2" xr3:uid="{87ECF132-A20B-4883-AC89-CE8D9AC68BA9}" name="Name" dataDxfId="46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B59D81-EF99-40E2-BF60-EEF1578AA981}" name="MonsterMaterialsImg" displayName="MonsterMaterialsImg" ref="X2:AD15" totalsRowShown="0" headerRowDxfId="462" dataDxfId="461">
  <autoFilter ref="X2:AD15" xr:uid="{91B59D81-EF99-40E2-BF60-EEF1578AA981}"/>
  <tableColumns count="7">
    <tableColumn id="3" xr3:uid="{FD79A5C7-F6A3-48B3-AC3B-566E039BBA95}" name="Mob Name" dataDxfId="460"/>
    <tableColumn id="4" xr3:uid="{7E252873-950D-459A-A573-E9A6FA2F4C1F}" name="3*Name" dataDxfId="459"/>
    <tableColumn id="5" xr3:uid="{2C54D783-4D28-41FF-85C4-4F989C65D14D}" name="3*Icon" dataDxfId="458">
      <calculatedColumnFormula>_xlfn.IMAGE(_xlfn.CONCAT("https://raw.githubusercontent.com/ItsCryp7iC/Genshin-Image-Hosting/main/",$X$1,"/",Y$1,"/",MonsterMaterialsImg[[#This Row],[3*Name]],".png"),MonsterMaterialsImg[[#This Row],[3*Name]])</calculatedColumnFormula>
    </tableColumn>
    <tableColumn id="7" xr3:uid="{5D410829-A044-4938-9A01-06C04352EEE9}" name="2*Name" dataDxfId="457"/>
    <tableColumn id="6" xr3:uid="{790EBBF6-AEB3-486B-9267-10681E8DDCE2}" name="2*Icon" dataDxfId="456">
      <calculatedColumnFormula>_xlfn.IMAGE(_xlfn.CONCAT("https://raw.githubusercontent.com/ItsCryp7iC/Genshin-Image-Hosting/main/",$X$1,"/",AA$1,"/",MonsterMaterialsImg[[#This Row],[2*Name]],".png"),MonsterMaterialsImg[[#This Row],[2*Name]])</calculatedColumnFormula>
    </tableColumn>
    <tableColumn id="8" xr3:uid="{3FF27451-D359-4AF9-9BC2-304322790BF0}" name="1*Name" dataDxfId="455"/>
    <tableColumn id="2" xr3:uid="{04A4E4F9-F684-4E4F-9E22-B172E3B2EAF7}" name="1*Icon" dataDxfId="454">
      <calculatedColumnFormula>_xlfn.IMAGE(_xlfn.CONCAT("https://raw.githubusercontent.com/ItsCryp7iC/Genshin-Image-Hosting/main/",$X$1,"/",AC$1,"/",MonsterMaterialsImg[[#This Row],[1*Name]],".png"),MonsterMaterialsImg[[#This Row],[1*Name]])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5F45436-0A7B-4E28-B2C5-38946D623E1E}" name="TalentBooksImg" displayName="TalentBooksImg" ref="AF2:AG47" totalsRowShown="0" headerRowDxfId="453" dataDxfId="452">
  <autoFilter ref="AF2:AG47" xr:uid="{85F45436-0A7B-4E28-B2C5-38946D623E1E}"/>
  <tableColumns count="2">
    <tableColumn id="1" xr3:uid="{C2995E17-7D14-42A7-91AF-8367BFA6D5B5}" name="Icon" dataDxfId="451">
      <calculatedColumnFormula>_xlfn.IMAGE(_xlfn.CONCAT("https://raw.githubusercontent.com/ItsCryp7iC/Genshin-Image-Hosting/main/",AF$1,"/",TalentBooksImg[[#This Row],[Name]],".png"),TalentBooksImg[[#This Row],[Name]])</calculatedColumnFormula>
    </tableColumn>
    <tableColumn id="2" xr3:uid="{7EA85A24-EB9F-47EF-B32C-E5B2B3D15C0F}" name="Name" dataDxfId="4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298F8CA-CFE3-4FC6-A382-7447B4038B8E}" name="LocalSpecialtiesImg" displayName="LocalSpecialtiesImg" ref="AI2:AJ45" totalsRowShown="0" headerRowDxfId="449" dataDxfId="448">
  <autoFilter ref="AI2:AJ45" xr:uid="{D298F8CA-CFE3-4FC6-A382-7447B4038B8E}"/>
  <tableColumns count="2">
    <tableColumn id="1" xr3:uid="{B18A0F22-65CA-4A90-B8DC-9A419DA03BEE}" name="Icon" dataDxfId="447">
      <calculatedColumnFormula>_xlfn.IMAGE(_xlfn.CONCAT("https://raw.githubusercontent.com/ItsCryp7iC/Genshin-Image-Hosting/main/",AI$1,"/",LocalSpecialtiesImg[[#This Row],[Name]],".png"),LocalSpecialtiesImg[[#This Row],[Name]])</calculatedColumnFormula>
    </tableColumn>
    <tableColumn id="2" xr3:uid="{C148C8AE-33E1-4216-A3FB-633C34B95E9E}" name="Name" dataDxfId="44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83B91E0-F1E2-4EE2-BAD9-5FA64344E12F}" name="GemsImg" displayName="GemsImg" ref="AL2:AO34" totalsRowShown="0" headerRowDxfId="445" dataDxfId="444">
  <autoFilter ref="AL2:AO34" xr:uid="{783B91E0-F1E2-4EE2-BAD9-5FA64344E12F}"/>
  <tableColumns count="4">
    <tableColumn id="1" xr3:uid="{246371CD-B3BE-4265-8C60-F89F20AEF5C1}" name="Icon" dataDxfId="443">
      <calculatedColumnFormula>_xlfn.IMAGE(_xlfn.CONCAT("https://raw.githubusercontent.com/ItsCryp7iC/Genshin-Image-Hosting/main/",AL$1,"/",GemsImg[[#This Row],[Name]],".png"),GemsImg[[#This Row],[Name]])</calculatedColumnFormula>
    </tableColumn>
    <tableColumn id="2" xr3:uid="{EB06E72D-2BDB-46C8-9E43-33524DEF81A2}" name="Name" dataDxfId="442">
      <calculatedColumnFormula>_xlfn.CONCAT(GemsImg[[#This Row],[Column2]],GemsImg[[#This Row],[Column1]])</calculatedColumnFormula>
    </tableColumn>
    <tableColumn id="4" xr3:uid="{FCA3A621-B33A-4976-A737-8509CCBC4E20}" name="Column2" dataDxfId="441"/>
    <tableColumn id="3" xr3:uid="{DA0A9A9B-3956-4C47-95C0-D59733985539}" name="Column1" dataDxfId="44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5D30F5FB-AFE3-4A6D-8E00-B029E7745D3B}" name="MiscImg" displayName="MiscImg" ref="AQ2:AR10" totalsRowShown="0" headerRowDxfId="439" dataDxfId="438">
  <autoFilter ref="AQ2:AR10" xr:uid="{5D30F5FB-AFE3-4A6D-8E00-B029E7745D3B}"/>
  <tableColumns count="2">
    <tableColumn id="1" xr3:uid="{71F572B4-BC88-4273-A43C-C1305E4FA246}" name="Icon" dataDxfId="437">
      <calculatedColumnFormula>_xlfn.IMAGE(_xlfn.CONCAT("https://raw.githubusercontent.com/ItsCryp7iC/Genshin-Image-Hosting/main/",AQ$1,"/",MiscImg[[#This Row],[Name]],".png"),MiscImg[[#This Row],[Name]])</calculatedColumnFormula>
    </tableColumn>
    <tableColumn id="2" xr3:uid="{40B0BB0D-30A2-409A-A1E2-EB71F05EE365}" name="Name" dataDxfId="43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5C23B03-03C1-4CEE-9134-CD105CBF4BC3}" name="CharacterDetailsImg" displayName="CharacterDetailsImg" ref="D2:N89" totalsRowShown="0" headerRowDxfId="435" dataDxfId="433" headerRowBorderDxfId="434">
  <autoFilter ref="D2:N89" xr:uid="{B5C23B03-03C1-4CEE-9134-CD105CBF4BC3}"/>
  <sortState xmlns:xlrd2="http://schemas.microsoft.com/office/spreadsheetml/2017/richdata2" ref="D3:N89">
    <sortCondition ref="F2:F89"/>
  </sortState>
  <tableColumns count="11">
    <tableColumn id="1" xr3:uid="{630FBB57-BC04-4CB3-B3C5-6142ADA352CA}" name="Icon" dataDxfId="432">
      <calculatedColumnFormula>_xlfn.IMAGE(_xlfn.CONCAT("https://raw.githubusercontent.com/ItsCryp7iC/Genshin-Image-Hosting/main/",D$1,"/",CharacterDetailsImg[[#This Row],[Name]],".png"),CharacterDetailsImg[[#This Row],[Name]])</calculatedColumnFormula>
    </tableColumn>
    <tableColumn id="2" xr3:uid="{731F8CD1-3758-4160-BFF4-C3B88A7B4205}" name="Name" dataDxfId="431"/>
    <tableColumn id="3" xr3:uid="{E7239F64-B800-4A9B-8248-6A4AB7995230}" name="Weapon Type" dataDxfId="430"/>
    <tableColumn id="4" xr3:uid="{A82441D1-53D6-4839-B2A8-426CE38F86B2}" name="Element" dataDxfId="429"/>
    <tableColumn id="9" xr3:uid="{3CE19D5D-1609-41E7-BA8E-A040E443B33E}" name="Released Version" dataDxfId="428"/>
    <tableColumn id="5" xr3:uid="{C72FD904-AB80-4F32-961B-24BA223503CA}" name="World Boss" dataDxfId="427"/>
    <tableColumn id="6" xr3:uid="{CDFC77AA-F941-4088-9FFC-CF4DEBBFDE4F}" name="Weekly Boss" dataDxfId="426"/>
    <tableColumn id="7" xr3:uid="{82D3AE23-725D-4204-AFE6-ABC95BE6CA93}" name="TalentBook" dataDxfId="425"/>
    <tableColumn id="8" xr3:uid="{721C5EB6-0B21-43CA-8D2F-1DC12A085740}" name="Monster Mats" dataDxfId="424"/>
    <tableColumn id="11" xr3:uid="{665EB381-A29F-3740-BD11-B0B2E77AF974}" name="LocalSpecialties" dataDxfId="423"/>
    <tableColumn id="10" xr3:uid="{FD44B491-F749-4815-A910-7F8B60F6BC03}" name="Gems" dataDxfId="422">
      <calculatedColumnFormula>IF(OR(
E3="TravelerAnemo",
E3="TravelerGeo",
E3="TravelerElectro",
E3="TravelerDendro",
E3="TravelerHydro",
E3="TravelerPyro",
E3="TravelerCryo"),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450BF9-18D4-4DD3-8F6F-9360DE9D0D2C}" name="BilletImg" displayName="BilletImg" ref="AT2:AU7" totalsRowShown="0" headerRowDxfId="421" dataDxfId="420">
  <autoFilter ref="AT2:AU7" xr:uid="{5F450BF9-18D4-4DD3-8F6F-9360DE9D0D2C}"/>
  <tableColumns count="2">
    <tableColumn id="1" xr3:uid="{ADC23C17-6449-4377-B630-EDCEEC7F14AB}" name="Icon" dataDxfId="419">
      <calculatedColumnFormula>_xlfn.IMAGE(_xlfn.CONCAT("https://raw.githubusercontent.com/ItsCryp7iC/Genshin-Image-Hosting/main/",AT$1,"/",BilletImg[[#This Row],[Name]],".png"),BilletImg[[#This Row],[Name]])</calculatedColumnFormula>
    </tableColumn>
    <tableColumn id="2" xr3:uid="{78EE2A6A-1B46-478A-AC36-040A34FF75D8}" name="Name" dataDxfId="41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603BFBF-3EB8-4AD4-AF6C-7BAA331B1619}" name="ElementsImg" displayName="ElementsImg" ref="AW2:AX9" totalsRowShown="0" headerRowDxfId="417" dataDxfId="416">
  <autoFilter ref="AW2:AX9" xr:uid="{3603BFBF-3EB8-4AD4-AF6C-7BAA331B1619}"/>
  <tableColumns count="2">
    <tableColumn id="1" xr3:uid="{EBD0437C-6331-4712-BBFF-63A8E59DE701}" name="Icon" dataDxfId="415">
      <calculatedColumnFormula>_xlfn.IMAGE(_xlfn.CONCAT("https://raw.githubusercontent.com/ItsCryp7iC/Genshin-Image-Hosting/main/",AW$1,"/",ElementsImg[[#This Row],[Name]],".png"),ElementsImg[[#This Row],[Name]])</calculatedColumnFormula>
    </tableColumn>
    <tableColumn id="2" xr3:uid="{381A098D-E6B1-40DA-AE98-2A0102007768}" name="Name" dataDxfId="41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1117BF0-54CA-4564-9CEF-252F6651192B}" name="WeaponsImg" displayName="WeaponsImg" ref="AZ2:BA176" totalsRowShown="0" headerRowDxfId="413" dataDxfId="412">
  <autoFilter ref="AZ2:BA176" xr:uid="{A1117BF0-54CA-4564-9CEF-252F6651192B}"/>
  <tableColumns count="2">
    <tableColumn id="1" xr3:uid="{2C1A27A6-878C-49F7-B27C-AEE3FEF771A5}" name="Icon" dataDxfId="411">
      <calculatedColumnFormula>_xlfn.IMAGE(_xlfn.CONCAT("https://raw.githubusercontent.com/ItsCryp7iC/Genshin-Image-Hosting/main/",AZ$1,"/",WeaponsImg[[#This Row],[Name]],".png"),WeaponsImg[[#This Row],[Name]])</calculatedColumnFormula>
    </tableColumn>
    <tableColumn id="2" xr3:uid="{93EF9473-06C4-4DF0-9622-CE155D2FD10D}" name="Name" dataDxfId="4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F01C85C-A3A4-444C-B766-D895B6EB0396}" name="WeaponMaterialsImg" displayName="WeaponMaterialsImg" ref="BC2:BD62" totalsRowShown="0" headerRowDxfId="409" dataDxfId="408">
  <autoFilter ref="BC2:BD62" xr:uid="{8F01C85C-A3A4-444C-B766-D895B6EB0396}"/>
  <tableColumns count="2">
    <tableColumn id="1" xr3:uid="{1742757B-ED55-43AE-94CF-3E27EDE9E447}" name="Icon" dataDxfId="407">
      <calculatedColumnFormula>_xlfn.IMAGE(_xlfn.CONCAT("https://raw.githubusercontent.com/ItsCryp7iC/Genshin-Image-Hosting/main/",BC$1,"/",WeaponMaterialsImg[[#This Row],[Name]],".png"),WeaponMaterialsImg[[#This Row],[Name]])</calculatedColumnFormula>
    </tableColumn>
    <tableColumn id="2" xr3:uid="{8DF1A0BA-4DD4-4A8C-B7BE-263DF30A8AC4}" name="Name" dataDxfId="40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EC85B4B-D14A-404A-BAED-6490403A6959}" name="ExperienceInv" displayName="ExperienceInv" ref="A4:B8" totalsRowShown="0" headerRowDxfId="405" dataDxfId="403" headerRowBorderDxfId="404">
  <autoFilter ref="A4:B8" xr:uid="{CEC85B4B-D14A-404A-BAED-6490403A6959}"/>
  <tableColumns count="2">
    <tableColumn id="1" xr3:uid="{B3C9709D-32B6-48B0-A807-661EC80D2242}" name="Icon" dataDxfId="402">
      <calculatedColumnFormula>ImgDatabase!A3</calculatedColumnFormula>
    </tableColumn>
    <tableColumn id="3" xr3:uid="{AC9369FA-7C10-48AC-8670-6BD395FD7FC6}" name="Quantity" dataDxfId="401" dataCellStyle="Good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67BB2F5-E7B5-4DEA-ADA2-C32432EF67D0}" name="WorldBossInv" displayName="WorldBossInv" ref="D4:E35" totalsRowShown="0" headerRowDxfId="400" dataDxfId="398" headerRowBorderDxfId="399">
  <autoFilter ref="D4:E35" xr:uid="{467BB2F5-E7B5-4DEA-ADA2-C32432EF67D0}"/>
  <tableColumns count="2">
    <tableColumn id="1" xr3:uid="{5F9E4E8C-24BB-43F3-8AD5-133003311CA5}" name="Icon" dataDxfId="397">
      <calculatedColumnFormula>ImgDatabase!P3</calculatedColumnFormula>
    </tableColumn>
    <tableColumn id="3" xr3:uid="{88644666-390B-45FE-9705-99F1C2FE29EB}" name="Quantity" dataDxfId="396" dataCellStyle="Good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9A62B4-730A-4308-9E3A-AB1917CA1130}" name="WeeklyBossInv" displayName="WeeklyBossInv" ref="G4:H34" totalsRowShown="0" headerRowDxfId="395" dataDxfId="393" headerRowBorderDxfId="394">
  <autoFilter ref="G4:H34" xr:uid="{EB9A62B4-730A-4308-9E3A-AB1917CA1130}"/>
  <tableColumns count="2">
    <tableColumn id="1" xr3:uid="{17F8F6D2-6B6E-42B1-BB28-2AC118308596}" name="Icon" dataDxfId="392">
      <calculatedColumnFormula>ImgDatabase!T3</calculatedColumnFormula>
    </tableColumn>
    <tableColumn id="3" xr3:uid="{A1FFDB15-D0C6-4F52-9D2E-B3BB820018BD}" name="Quantity" dataDxfId="391" dataCellStyle="Good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2FFD29-F9A5-465A-8592-4622E20F44E5}" name="MonsterMaterialsInv" displayName="MonsterMaterialsInv" ref="J4:O17" totalsRowShown="0" headerRowDxfId="390" dataDxfId="388" headerRowBorderDxfId="389">
  <autoFilter ref="J4:O17" xr:uid="{8E2FFD29-F9A5-465A-8592-4622E20F44E5}"/>
  <tableColumns count="6">
    <tableColumn id="1" xr3:uid="{0C593EFA-90DC-4C79-8D84-5CD5C454DA4C}" name="3* Icon" dataDxfId="387">
      <calculatedColumnFormula>ImgDatabase!Z3</calculatedColumnFormula>
    </tableColumn>
    <tableColumn id="4" xr3:uid="{5FC7B1F0-320E-47E9-AEEF-1EC7161AC003}" name="3* Quantity" dataDxfId="386" dataCellStyle="Good"/>
    <tableColumn id="5" xr3:uid="{AF3429E3-126F-46BF-B345-D96B77F69CC7}" name="2* Icon" dataDxfId="385">
      <calculatedColumnFormula>ImgDatabase!AB3</calculatedColumnFormula>
    </tableColumn>
    <tableColumn id="6" xr3:uid="{37E42B95-BD49-4287-B07D-B0D0634D7AC7}" name="2* Quantity" dataDxfId="384" dataCellStyle="Good"/>
    <tableColumn id="2" xr3:uid="{D8D7600D-1C6D-4C12-A021-B6D397656215}" name="1* Icon" dataDxfId="383">
      <calculatedColumnFormula>ImgDatabase!AD3</calculatedColumnFormula>
    </tableColumn>
    <tableColumn id="3" xr3:uid="{92666AB6-694E-4341-973B-A601365969E7}" name="1* Quantity" dataDxfId="382" dataCellStyle="Good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887DA76-B656-437B-8ADF-127D2D65ECFD}" name="TalentBooksInv" displayName="TalentBooksInv" ref="Q4:R49" totalsRowShown="0" headerRowDxfId="381" dataDxfId="379" headerRowBorderDxfId="380">
  <autoFilter ref="Q4:R49" xr:uid="{2887DA76-B656-437B-8ADF-127D2D65ECFD}"/>
  <tableColumns count="2">
    <tableColumn id="1" xr3:uid="{3E0A2344-C4BE-41E6-AA1F-3F3560F1D8CD}" name="Icon" dataDxfId="378">
      <calculatedColumnFormula>ImgDatabase!AF3</calculatedColumnFormula>
    </tableColumn>
    <tableColumn id="3" xr3:uid="{AB3250A8-839E-44EE-82BE-95BD928D8544}" name="Quantity" dataDxfId="377" dataCellStyle="Good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3B5164D-E759-45F7-9F13-BCCD285D48B2}" name="LocalSpecialtiesInv" displayName="LocalSpecialtiesInv" ref="T4:U47" totalsRowShown="0" headerRowDxfId="376" dataDxfId="374" headerRowBorderDxfId="375">
  <autoFilter ref="T4:U47" xr:uid="{D3B5164D-E759-45F7-9F13-BCCD285D48B2}"/>
  <tableColumns count="2">
    <tableColumn id="1" xr3:uid="{1D638E2C-7664-4985-828A-21020C6A0798}" name="Icon" dataDxfId="373">
      <calculatedColumnFormula>ImgDatabase!AI3</calculatedColumnFormula>
    </tableColumn>
    <tableColumn id="3" xr3:uid="{04524C7E-5D67-49B7-A579-4AEFBDE4C2E8}" name="Quantity" dataDxfId="372" dataCellStyle="Good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E23DE02-3333-448C-B74B-7A0BB4496250}" name="GemsInv" displayName="GemsInv" ref="W4:X36" totalsRowShown="0" headerRowDxfId="371" dataDxfId="369" headerRowBorderDxfId="370">
  <autoFilter ref="W4:X36" xr:uid="{EE23DE02-3333-448C-B74B-7A0BB4496250}"/>
  <tableColumns count="2">
    <tableColumn id="1" xr3:uid="{2E23D609-0F17-4689-89BD-6298404B6DD8}" name="Icon" dataDxfId="368">
      <calculatedColumnFormula>ImgDatabase!AL3</calculatedColumnFormula>
    </tableColumn>
    <tableColumn id="3" xr3:uid="{0D7E441B-15E4-4B31-BB46-7A42C5AC4C8E}" name="Quantity" dataDxfId="367" dataCellStyle="Good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FFC40B2-5A5C-4983-B7F8-4ED9CC6CFCE3}" name="MiscInv" displayName="MiscInv" ref="Z4:AA7" totalsRowShown="0" headerRowDxfId="366" dataDxfId="364" headerRowBorderDxfId="365">
  <autoFilter ref="Z4:AA7" xr:uid="{8FFC40B2-5A5C-4983-B7F8-4ED9CC6CFCE3}"/>
  <tableColumns count="2">
    <tableColumn id="1" xr3:uid="{52BBDE71-F8D3-47CE-9251-6A9A7DFC78E5}" name="Icon" dataDxfId="363">
      <calculatedColumnFormula>ImgDatabase!AQ3</calculatedColumnFormula>
    </tableColumn>
    <tableColumn id="3" xr3:uid="{BC9F4EE1-5DAD-4963-B051-F140BBDB125A}" name="Quantity" dataDxfId="362" dataCellStyle="Good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50C4983-397B-4300-8717-0E2237970CEB}" name="Character" displayName="Character" ref="A2:K89" headerRowDxfId="361" dataDxfId="360" totalsRowDxfId="359">
  <autoFilter ref="A2:K89" xr:uid="{C78F8660-662A-46FF-93BA-D65807617CAE}"/>
  <sortState xmlns:xlrd2="http://schemas.microsoft.com/office/spreadsheetml/2017/richdata2" ref="A3:K89">
    <sortCondition ref="C2:C89"/>
  </sortState>
  <tableColumns count="11">
    <tableColumn id="1" xr3:uid="{D6E5C43E-5C07-49FF-B1B9-ABD557AF19B6}" name="Sl No." dataDxfId="358" totalsRowDxfId="357">
      <calculatedColumnFormula>SUBTOTAL(3,$D$3:Character[[#This Row],[NameHelper]])</calculatedColumnFormula>
    </tableColumn>
    <tableColumn id="67" xr3:uid="{44824374-AEFA-4453-925C-01C7C29F92A0}" name="Icon" dataDxfId="356" totalsRowDxfId="355">
      <calculatedColumnFormula>IFERROR(INDEX(ImgDatabase!$D:$D, MATCH(Character[[#This Row],[NameHelper]], ImgDatabase!$E:$E, 0)), "")</calculatedColumnFormula>
    </tableColumn>
    <tableColumn id="8" xr3:uid="{E0A70E04-20E3-4782-A85F-1ACF648DA187}" name="Name" dataDxfId="354" totalsRowDxfId="353"/>
    <tableColumn id="2" xr3:uid="{23057AD2-2F98-4AC4-B35C-51B7D584B762}" name="NameHelper" dataDxfId="352" totalsRowDxfId="351"/>
    <tableColumn id="3" xr3:uid="{0AF9C27E-11C8-4E4E-91F8-E76E8348E504}" name="Element" dataDxfId="350">
      <calculatedColumnFormula>IFERROR(INDEX(ImgDatabase!$G:$G, MATCH(Character[[#This Row],[NameHelper]], ImgDatabase!$E:$E, 0)), "")</calculatedColumnFormula>
    </tableColumn>
    <tableColumn id="66" xr3:uid="{66B480C5-D129-4F57-BA4D-E91009D66890}" name="Weapon Type" dataDxfId="349" totalsRowDxfId="348">
      <calculatedColumnFormula>IFERROR(INDEX(CharacterDetailsImg[Weapon Type], MATCH(Character[[#This Row],[NameHelper]], CharacterDetailsImg[Name], 0)), "")</calculatedColumnFormula>
    </tableColumn>
    <tableColumn id="62" xr3:uid="{BFE9BC67-A161-4EF5-9121-D0146E5A0056}" name="Version Released" dataDxfId="347" totalsRowDxfId="346">
      <calculatedColumnFormula>IFERROR(INDEX(CharacterDetailsImg[Released Version], MATCH(Character[[#This Row],[NameHelper]], CharacterDetailsImg[Name], 0)), "")</calculatedColumnFormula>
    </tableColumn>
    <tableColumn id="4" xr3:uid="{FFD41670-F581-4DC2-9A71-CD9EBEE81793}" name="Level" dataDxfId="345" totalsRowDxfId="344" dataCellStyle="Good"/>
    <tableColumn id="5" xr3:uid="{EB001A27-D042-4C62-BA7D-E45BB2185E69}" name="NA" dataDxfId="343" totalsRowDxfId="342" dataCellStyle="Good"/>
    <tableColumn id="6" xr3:uid="{F70D0D2E-D6B8-4F1E-BB79-7FB00B6C8DE5}" name="Skill" dataDxfId="341" totalsRowDxfId="340" dataCellStyle="Good"/>
    <tableColumn id="7" xr3:uid="{FC7A010A-90F9-47F4-85F9-27E3EC4FACBE}" name="Burst" dataDxfId="339" totalsRowDxfId="338" dataCellStyle="Good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BE7F488-26D2-4060-9FD5-6FDAE5E82AFE}" name="Target" displayName="Target" ref="M2:P89" totalsRowShown="0" headerRowDxfId="337" dataDxfId="335" headerRowBorderDxfId="336" tableBorderDxfId="334" dataCellStyle="Neutral">
  <autoFilter ref="M2:P89" xr:uid="{CBE7F488-26D2-4060-9FD5-6FDAE5E82AFE}">
    <filterColumn colId="0" hiddenButton="1"/>
    <filterColumn colId="1" hiddenButton="1"/>
    <filterColumn colId="2" hiddenButton="1"/>
    <filterColumn colId="3" hiddenButton="1"/>
  </autoFilter>
  <tableColumns count="4">
    <tableColumn id="1" xr3:uid="{B7415A67-641F-4B5E-9975-805094B9D589}" name="_x000a_Level" dataDxfId="333" dataCellStyle="Neutral"/>
    <tableColumn id="2" xr3:uid="{03862FE3-4387-49A7-BD17-509BB8EAB610}" name="_x000a_NA" dataDxfId="332" dataCellStyle="Neutral"/>
    <tableColumn id="3" xr3:uid="{7E4D3758-AC1A-4B87-9756-992C6BA416CA}" name="_x000a_Skill" dataDxfId="331" dataCellStyle="Neutral"/>
    <tableColumn id="4" xr3:uid="{FAC75E29-6717-4454-AA6A-6B93D0E6D083}" name="_x000a_Burst" dataDxfId="330" dataCellStyle="Neutral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C3970CA-B3D9-4AF4-8F5F-1420BBC36EE6}" name="WorldBoss" displayName="WorldBoss" ref="T2:U90" totalsRowCount="1" headerRowDxfId="329" dataDxfId="327" totalsRowDxfId="325" headerRowBorderDxfId="328" tableBorderDxfId="326" totalsRowBorderDxfId="324">
  <autoFilter ref="T2:U89" xr:uid="{3C3970CA-B3D9-4AF4-8F5F-1420BBC36EE6}"/>
  <tableColumns count="2">
    <tableColumn id="1" xr3:uid="{EDEF5BC8-91C7-4ED8-9429-DD31B2857790}" name="Material" dataDxfId="323" totalsRowDxfId="322">
      <calculatedColumnFormula>IF(Character[[#This Row],[Name]]="Traveler","",IFERROR(INDEX(ImgDatabase!$I:$I,MATCH(Character[[#This Row],[NameHelper]],ImgDatabase!$E:$E,0)),""))</calculatedColumnFormula>
    </tableColumn>
    <tableColumn id="3" xr3:uid="{76BA97C1-1204-4ADC-9350-96E7ED530536}" name="Need to Farm" totalsRowFunction="sum" dataDxfId="321" totalsRowDxfId="320">
      <calculatedColumnFormula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5515904-4C3C-48B5-B5C0-1FE4DB488B38}" name="TalentBook" displayName="TalentBook" ref="W2:Z90" totalsRowCount="1" headerRowDxfId="319" dataDxfId="318" totalsRowDxfId="316" tableBorderDxfId="317" totalsRowBorderDxfId="315">
  <autoFilter ref="W2:Z89" xr:uid="{F5515904-4C3C-48B5-B5C0-1FE4DB488B38}"/>
  <tableColumns count="4">
    <tableColumn id="1" xr3:uid="{5B797346-890A-485F-A154-C0987A1F020F}" name="Book" dataDxfId="314" totalsRowDxfId="313">
      <calculatedColumnFormula>IF(Character[[#This Row],[Name]]="Traveler","",IFERROR(INDEX(ImgDatabase!$K:$K, MATCH(Character[[#This Row],[NameHelper]], ImgDatabase!$E:$E, 0)), ""))</calculatedColumnFormula>
    </tableColumn>
    <tableColumn id="2" xr3:uid="{709C6CFE-156B-4DEA-86FA-FD98FB5883E3}" name="4* Book" totalsRowFunction="sum" dataDxfId="312" totalsRowDxfId="311">
      <calculatedColumnFormula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calculatedColumnFormula>
    </tableColumn>
    <tableColumn id="3" xr3:uid="{6B952C33-671E-45B1-9D1C-C1420EBDE477}" name="3* Book" totalsRowFunction="sum" dataDxfId="310" totalsRowDxfId="309">
      <calculatedColumnFormula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calculatedColumnFormula>
    </tableColumn>
    <tableColumn id="4" xr3:uid="{DC509E3E-0AD5-4ECC-8203-288F310C640C}" name="2* Book" totalsRowFunction="sum" dataDxfId="308" totalsRowDxfId="307">
      <calculatedColumnFormula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DBD7E68-E9A3-47D2-9FDC-D3F422AEEB4E}" name="WeeklyBoss" displayName="WeeklyBoss" ref="AB2:AC90" totalsRowCount="1" headerRowDxfId="306" dataDxfId="304" totalsRowDxfId="302" headerRowBorderDxfId="305" tableBorderDxfId="303" totalsRowBorderDxfId="301">
  <autoFilter ref="AB2:AC89" xr:uid="{CDBD7E68-E9A3-47D2-9FDC-D3F422AEEB4E}"/>
  <tableColumns count="2">
    <tableColumn id="1" xr3:uid="{AEFA3055-2B30-41EF-BF0F-80E44EDF0698}" name="Material" dataDxfId="300" totalsRowDxfId="299">
      <calculatedColumnFormula>IFERROR(INDEX(ImgDatabase!$J:$J, MATCH(Character[[#This Row],[NameHelper]], ImgDatabase!$E:$E, 0)), "")</calculatedColumnFormula>
    </tableColumn>
    <tableColumn id="2" xr3:uid="{35A10E3D-A0D8-45BA-932B-EB3E6BA9E4D9}" name="Need to Farm" totalsRowFunction="sum" dataDxfId="298" totalsRowDxfId="297">
      <calculatedColumnFormula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9038080-73FA-46B6-8C7F-6E42568CE87D}" name="Table36" displayName="Table36" ref="R2:R90" totalsRowCount="1" headerRowDxfId="296" dataDxfId="294" headerRowBorderDxfId="295" tableBorderDxfId="293">
  <autoFilter ref="R2:R89" xr:uid="{E9038080-73FA-46B6-8C7F-6E42568CE87D}"/>
  <sortState xmlns:xlrd2="http://schemas.microsoft.com/office/spreadsheetml/2017/richdata2" ref="R3:R89">
    <sortCondition ref="R2:R89"/>
  </sortState>
  <tableColumns count="1">
    <tableColumn id="1" xr3:uid="{9591BB0B-7B80-407D-A39C-85173007C592}" name="Hero's Wits" totalsRowFunction="sum" dataDxfId="292" totalsRowDxfId="29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AA79E2B-9C5F-4DD3-B9B8-541505781E2A}" name="LocalSpecialties3" displayName="LocalSpecialties3" ref="AE2:AF90" totalsRowCount="1" headerRowDxfId="290" dataDxfId="288" totalsRowDxfId="286" headerRowBorderDxfId="289" tableBorderDxfId="287" totalsRowBorderDxfId="285">
  <autoFilter ref="AE2:AF89" xr:uid="{DAA79E2B-9C5F-4DD3-B9B8-541505781E2A}"/>
  <tableColumns count="2">
    <tableColumn id="1" xr3:uid="{4B49BC3E-6408-45A5-B0A0-B52625511988}" name="Local Specialties" dataDxfId="284" totalsRowDxfId="283">
      <calculatedColumnFormula>IFERROR(INDEX(ImgDatabase!$M:$M, MATCH(Character[[#This Row],[NameHelper]], ImgDatabase!$E:$E, 0)), "")</calculatedColumnFormula>
    </tableColumn>
    <tableColumn id="2" xr3:uid="{2D726768-9690-46D0-90ED-61C31AD5D816}" name="Need to Farm" totalsRowFunction="sum" dataDxfId="282" totalsRowDxfId="281">
      <calculatedColumnFormula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D3F3BD9-AE5A-4B8C-B285-F608EB6C67D4}" name="Gemstone" displayName="Gemstone" ref="AH2:AL90" totalsRowCount="1" headerRowDxfId="280" dataDxfId="278" totalsRowDxfId="276" headerRowBorderDxfId="279" tableBorderDxfId="277" totalsRowBorderDxfId="275">
  <autoFilter ref="AH2:AL89" xr:uid="{3D3F3BD9-AE5A-4B8C-B285-F608EB6C67D4}"/>
  <tableColumns count="5">
    <tableColumn id="1" xr3:uid="{C558A1CB-C4D4-42E1-8077-52117AAC450F}" name="Stone Type" dataDxfId="274" totalsRowDxfId="273">
      <calculatedColumnFormula>IFERROR(INDEX(ImgDatabase!$N:$N, MATCH(Character[[#This Row],[NameHelper]], ImgDatabase!$E:$E, 0)), "")</calculatedColumnFormula>
    </tableColumn>
    <tableColumn id="2" xr3:uid="{ACEFD48C-BDEB-4465-B61E-DD6D41462A0C}" name="Gemstone" totalsRowFunction="sum" dataDxfId="272" totalsRowDxfId="271">
      <calculatedColumnFormula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calculatedColumnFormula>
    </tableColumn>
    <tableColumn id="3" xr3:uid="{0D4B439C-1066-44F4-A537-0B6CF7D2298C}" name="Chunk" totalsRowFunction="sum" dataDxfId="270" totalsRowDxfId="269">
      <calculatedColumnFormula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calculatedColumnFormula>
    </tableColumn>
    <tableColumn id="4" xr3:uid="{FB2034CF-2F8B-4D83-A0D5-1AC5C8E992F3}" name="Fragment" totalsRowFunction="sum" dataDxfId="268" totalsRowDxfId="267">
      <calculatedColumnFormula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calculatedColumnFormula>
    </tableColumn>
    <tableColumn id="5" xr3:uid="{9B722877-E3F2-4DB5-8D55-31AFDA62B505}" name="Silver" totalsRowFunction="sum" dataDxfId="266" totalsRowDxfId="265">
      <calculatedColumnFormula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5C0C2AB3-6BA3-4C7F-834A-2C7DD357F775}" name="MonsterMaterials" displayName="MonsterMaterials" ref="AN2:AW90" totalsRowCount="1" headerRowDxfId="264" dataDxfId="262" totalsRowDxfId="260" headerRowBorderDxfId="263" tableBorderDxfId="261" totalsRowBorderDxfId="259">
  <autoFilter ref="AN2:AW89" xr:uid="{5C0C2AB3-6BA3-4C7F-834A-2C7DD357F775}"/>
  <tableColumns count="10">
    <tableColumn id="1" xr3:uid="{106CABA0-2DAC-4C6F-AFA1-B1F153E631EC}" name="Material Type" dataDxfId="258" totalsRowDxfId="257">
      <calculatedColumnFormula>IFERROR(INDEX(ImgDatabase!$L:$L, MATCH(Character[[#This Row],[NameHelper]], ImgDatabase!$E:$E, 0)), "")</calculatedColumnFormula>
    </tableColumn>
    <tableColumn id="2" xr3:uid="{02B968DF-4C33-4881-B104-6FF9633C616C}" name="3* (Asc)" totalsRowFunction="sum" dataDxfId="256" totalsRowDxfId="255">
      <calculatedColumnFormula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calculatedColumnFormula>
    </tableColumn>
    <tableColumn id="3" xr3:uid="{89A3CC45-3452-4442-AFB2-6EB46330C55C}" name="2* (Asc)" totalsRowFunction="sum" dataDxfId="254" totalsRowDxfId="253">
      <calculatedColumnFormula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calculatedColumnFormula>
    </tableColumn>
    <tableColumn id="4" xr3:uid="{D4714B2F-9A3E-4168-8B30-3A313B4C3800}" name="1* (Asc)" totalsRowFunction="sum" dataDxfId="252" totalsRowDxfId="251">
      <calculatedColumnFormula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calculatedColumnFormula>
    </tableColumn>
    <tableColumn id="5" xr3:uid="{97DAC930-D806-4876-B887-77A826828036}" name="3* (Tal)" totalsRowFunction="sum" dataDxfId="250" totalsRowDxfId="249">
      <calculatedColumnFormula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calculatedColumnFormula>
    </tableColumn>
    <tableColumn id="6" xr3:uid="{424D024E-31F6-468B-A40E-47BB66393FFA}" name="2* (Tal)" totalsRowFunction="sum" dataDxfId="248" totalsRowDxfId="247">
      <calculatedColumnFormula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calculatedColumnFormula>
    </tableColumn>
    <tableColumn id="7" xr3:uid="{B3E273FD-E8BA-43EB-8043-9441EFA60A56}" name="1* (Tal)" totalsRowFunction="sum" dataDxfId="246" totalsRowDxfId="245">
      <calculatedColumnFormula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calculatedColumnFormula>
    </tableColumn>
    <tableColumn id="17" xr3:uid="{D89D1C18-DF78-4B75-80D0-5790B562251E}" name="3* Mats" totalsRowFunction="sum" dataDxfId="244" totalsRowDxfId="243">
      <calculatedColumnFormula>SUM(AO3,AR3)</calculatedColumnFormula>
    </tableColumn>
    <tableColumn id="18" xr3:uid="{3B2B73EF-27E5-4EBA-BFF0-1BAF7F7D66E4}" name="2* Mats" totalsRowFunction="sum" dataDxfId="242" totalsRowDxfId="241">
      <calculatedColumnFormula>SUM(AP3,AS3)</calculatedColumnFormula>
    </tableColumn>
    <tableColumn id="19" xr3:uid="{B7D5A478-56E7-4AE0-82DE-F6ACE6DF2836}" name="1* Mats" totalsRowFunction="sum" dataDxfId="240" totalsRowDxfId="239">
      <calculatedColumnFormula>SUM(AQ3,AT3)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D5F56FD6-5BB9-44A1-B310-53ABB8CBB5B9}" name="Table40" displayName="Table40" ref="AY2:BC90" totalsRowCount="1" headerRowDxfId="238" dataDxfId="236" totalsRowDxfId="235" headerRowBorderDxfId="237" totalsRowBorderDxfId="234">
  <autoFilter ref="AY2:BC89" xr:uid="{D5F56FD6-5BB9-44A1-B310-53ABB8CBB5B9}"/>
  <tableColumns count="5">
    <tableColumn id="1" xr3:uid="{1A83F816-AD49-43CF-BB95-C51ACC09419D}" name="Ascension_x000a_Cost" totalsRowFunction="sum" dataDxfId="233" totalsRowDxfId="232">
      <calculatedColumnFormula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calculatedColumnFormula>
    </tableColumn>
    <tableColumn id="2" xr3:uid="{AA2A4B9E-999C-464B-AB23-11EC0C80D4E7}" name="Talent Cost_x000a_(NA)" totalsRowFunction="sum" dataDxfId="231" totalsRowDxfId="230">
      <calculatedColumnFormula>IF(Character[[#This Row],[NA]]=0,0,IF(Target[[#This Row],[
NA]]&lt;Character[[#This Row],[NA]],0,LOOKUP(Character[[#This Row],[NA]],TalentDatabase[Talent Level],TalentDatabase[Mora])-LOOKUP(Target[[#This Row],[
NA]],TalentDatabase[Talent Level],TalentDatabase[Mora])))</calculatedColumnFormula>
    </tableColumn>
    <tableColumn id="3" xr3:uid="{76992DD2-1E62-4406-9A8C-88AC1AA60BBE}" name="Talent Cost_x000a_(Skill)" totalsRowFunction="sum" dataDxfId="229" totalsRowDxfId="228">
      <calculatedColumnFormula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calculatedColumnFormula>
    </tableColumn>
    <tableColumn id="4" xr3:uid="{1A6AD202-3A25-4CF8-8C13-8AD47405C71D}" name="Talent Cost_x000a_(Burst)" totalsRowFunction="sum" dataDxfId="227" totalsRowDxfId="226">
      <calculatedColumnFormula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calculatedColumnFormula>
    </tableColumn>
    <tableColumn id="5" xr3:uid="{49CEB664-1770-419C-B690-E844C330F340}" name="Total_x000a_Cost" totalsRowFunction="sum" dataDxfId="225" totalsRowDxfId="224">
      <calculatedColumnFormula>SUM(Table40[[#This Row],[Ascension
Cost]:[Talent Cost
(Burst)]])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836B5A5F-3497-2D49-9870-ACFCD4658CA6}" name="Table53" displayName="Table53" ref="BE2:BH90" totalsRowCount="1" headerRowDxfId="223" dataDxfId="221" totalsRowDxfId="220" headerRowBorderDxfId="222" totalsRowBorderDxfId="219">
  <autoFilter ref="BE2:BH89" xr:uid="{836B5A5F-3497-2D49-9870-ACFCD4658CA6}"/>
  <tableColumns count="4">
    <tableColumn id="1" xr3:uid="{992A2483-7795-1043-AE7A-BA4CB7BC1DD0}" name="NA" totalsRowFunction="sum" dataDxfId="218" totalsRowDxfId="217">
      <calculatedColumnFormula>IF(Character[[#This Row],[NA]]=0,0,IF(Target[[#This Row],[
NA]]&lt;Character[[#This Row],[NA]],0,LOOKUP(Character[[#This Row],[NA]],TalentDatabase[Talent Level],TalentDatabase[Crown])-LOOKUP(Target[[#This Row],[
NA]],TalentDatabase[Talent Level],TalentDatabase[Crown])))</calculatedColumnFormula>
    </tableColumn>
    <tableColumn id="2" xr3:uid="{4AF3CD9A-DADC-48CE-9134-2A1BCAF64B1D}" name="Skill" totalsRowFunction="sum" dataDxfId="216" totalsRowDxfId="215">
      <calculatedColumnFormula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calculatedColumnFormula>
    </tableColumn>
    <tableColumn id="3" xr3:uid="{74C1E464-52D1-4F15-8DBF-53D545016CEA}" name="Burst" totalsRowFunction="sum" dataDxfId="214" totalsRowDxfId="213">
      <calculatedColumnFormula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calculatedColumnFormula>
    </tableColumn>
    <tableColumn id="4" xr3:uid="{58C934F1-2DE9-469A-9B71-3856C5D20C97}" name="Total" totalsRowFunction="sum" dataDxfId="212" totalsRowDxfId="211">
      <calculatedColumnFormula>SUM(Table53[[#This Row],[NA]:[Burst]])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7DE17C-8D7E-4333-9E2F-9129AB786FA7}" name="World_Boss" displayName="World_Boss" ref="A2:G34" totalsRowCount="1" headerRowDxfId="210" dataDxfId="208" totalsRowDxfId="207" headerRowBorderDxfId="209">
  <autoFilter ref="A2:G33" xr:uid="{75761221-EEEE-4308-995F-040E07A72874}"/>
  <sortState xmlns:xlrd2="http://schemas.microsoft.com/office/spreadsheetml/2017/richdata2" ref="A3:G33">
    <sortCondition ref="D2:D33"/>
  </sortState>
  <tableColumns count="7">
    <tableColumn id="1" xr3:uid="{100EA993-FA4F-47D1-A56D-9C7CB1E50869}" name="Sl No." totalsRowLabel="Total" dataDxfId="206" totalsRowDxfId="205">
      <calculatedColumnFormula>SUBTOTAL(3,$C$3:World_Boss[[#This Row],[Name]])</calculatedColumnFormula>
    </tableColumn>
    <tableColumn id="7" xr3:uid="{95C50174-02C8-4EAC-9178-AAB7646DC9A6}" name="Boss Name" dataDxfId="204" totalsRowDxfId="203">
      <calculatedColumnFormula>IFERROR(INDEX(WorldBossImg[Icon], MATCH(World_Boss[[#This Row],[Name]], WorldBossImg[Name], 0)), "")</calculatedColumnFormula>
    </tableColumn>
    <tableColumn id="2" xr3:uid="{CE78B17E-A0A1-40CF-B5A0-BAC11C1E73B4}" name="Name" dataDxfId="202" totalsRowDxfId="201"/>
    <tableColumn id="6" xr3:uid="{2E05B981-DF2A-42C1-8B17-183136F03967}" name="Version" dataDxfId="200" totalsRowDxfId="199"/>
    <tableColumn id="3" xr3:uid="{736FF383-833A-41BE-80BC-05287188C2E3}" name="Mats Needed" totalsRowFunction="sum" dataDxfId="198" totalsRowDxfId="197">
      <calculatedColumnFormula>SUMIF(WorldBoss[Material],World_Boss[[#This Row],[Boss Name]],WorldBoss[Need to Farm])</calculatedColumnFormula>
    </tableColumn>
    <tableColumn id="4" xr3:uid="{72A3CB5D-0DFF-473E-A9CA-C382695C0795}" name="Mats Acquired" totalsRowFunction="sum" dataDxfId="196" totalsRowDxfId="195">
      <calculatedColumnFormula>IFERROR(INDEX(WorldBossInv[Quantity], MATCH(World_Boss[[#This Row],[Boss Name]], WorldBossInv[Icon], 0)), "")</calculatedColumnFormula>
    </tableColumn>
    <tableColumn id="5" xr3:uid="{8F190CE4-749D-4ED5-8194-9710BCFE4279}" name="Remaining Mats" totalsRowFunction="custom" dataDxfId="194" totalsRowDxfId="193">
      <calculatedColumnFormula>E3-F3</calculatedColumnFormula>
      <totalsRowFormula>SUMIF(World_Boss[Remaining Mats],"&gt;=0")</totalsRow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9118A6-159A-4FBD-B4FB-632CECCE43B9}" name="Talent_Books" displayName="Talent_Books" ref="A3:V19" totalsRowCount="1" headerRowDxfId="192" dataDxfId="190" totalsRowDxfId="188" headerRowBorderDxfId="191" tableBorderDxfId="189">
  <autoFilter ref="A3:V18" xr:uid="{6D9118A6-159A-4FBD-B4FB-632CECCE43B9}"/>
  <sortState xmlns:xlrd2="http://schemas.microsoft.com/office/spreadsheetml/2017/richdata2" ref="A4:V18">
    <sortCondition ref="D3:D18"/>
  </sortState>
  <tableColumns count="22">
    <tableColumn id="1" xr3:uid="{AAA4A7E4-B9F5-4F75-ABA8-F21690018EA9}" name="Sl No." dataDxfId="187" totalsRowDxfId="186">
      <calculatedColumnFormula>SUBTOTAL(3,$B$4:Talent_Books[[#This Row],[Book Region]])</calculatedColumnFormula>
    </tableColumn>
    <tableColumn id="2" xr3:uid="{78FA7F45-740E-4EF8-BDEC-5978699DFEB3}" name="Book Region" dataDxfId="185" totalsRowDxfId="184"/>
    <tableColumn id="3" xr3:uid="{848E969F-1F78-4291-9F3E-8FE3C036CF09}" name="NameHelper" dataDxfId="183" totalsRowDxfId="182"/>
    <tableColumn id="13" xr3:uid="{70530C69-55A3-47EB-B1D8-597F704A39E1}" name="Version" totalsRowLabel="Total" dataDxfId="181" totalsRowDxfId="180"/>
    <tableColumn id="4" xr3:uid="{40F4725D-358F-4B6F-B580-1492C9F45E95}" name="4* Book" dataDxfId="179" totalsRowDxfId="178">
      <calculatedColumnFormula>IFERROR(INDEX(TalentBooksImg[Icon], MATCH(_xlfn.CONCAT("philosophiesof",Talent_Books[[#This Row],[NameHelper]]), TalentBooksImg[Name], 0)), "")</calculatedColumnFormula>
    </tableColumn>
    <tableColumn id="5" xr3:uid="{F2A14402-8AC1-4401-B0B1-45A5E759C80E}" name="4* Need" totalsRowFunction="custom" dataDxfId="177" totalsRowDxfId="176">
      <calculatedColumnFormula>SUMIF(TalentBook[Book],Talent_Books[[#This Row],[4* Book]],TalentBook[4* Book])</calculatedColumnFormula>
      <totalsRowFormula>SUMIF(Talent_Books[4* Need],"&gt;=0")</totalsRowFormula>
    </tableColumn>
    <tableColumn id="18" xr3:uid="{6FF2AEB2-0FCA-42FE-841E-6A9EDCBF84A2}" name="3* Book" dataDxfId="175" totalsRowDxfId="174">
      <calculatedColumnFormula>IFERROR(INDEX(TalentBooksImg[Icon], MATCH(_xlfn.CONCAT("guideto",Talent_Books[[#This Row],[NameHelper]]), TalentBooksImg[Name], 0)), "")</calculatedColumnFormula>
    </tableColumn>
    <tableColumn id="19" xr3:uid="{C83A209A-13DD-49FB-BC65-A96A521E5C45}" name="3* Need" totalsRowFunction="custom" dataDxfId="173" totalsRowDxfId="172">
      <calculatedColumnFormula>SUMIF(TalentBook[Book],Talent_Books[[#This Row],[4* Book]],TalentBook[3* Book])</calculatedColumnFormula>
      <totalsRowFormula>SUMIF(Talent_Books[3* Need],"&gt;=0")</totalsRowFormula>
    </tableColumn>
    <tableColumn id="17" xr3:uid="{893A0467-2D22-463F-B77D-ABBC1CE462E5}" name="2* Book" dataDxfId="171" totalsRowDxfId="170">
      <calculatedColumnFormula>IFERROR(INDEX(TalentBooksImg[Icon], MATCH(_xlfn.CONCAT("teachingsof",Talent_Books[[#This Row],[NameHelper]]), TalentBooksImg[Name], 0)), "")</calculatedColumnFormula>
    </tableColumn>
    <tableColumn id="6" xr3:uid="{06ACA8D3-4AE5-4828-AD0D-4FF0D624F3DA}" name="2* Need" totalsRowFunction="custom" dataDxfId="169" totalsRowDxfId="168">
      <calculatedColumnFormula>SUMIF(TalentBook[Book],Talent_Books[[#This Row],[4* Book]],TalentBook[2* Book])</calculatedColumnFormula>
      <totalsRowFormula>SUMIF(Talent_Books[2* Need],"&gt;=0")</totalsRowFormula>
    </tableColumn>
    <tableColumn id="7" xr3:uid="{9B3F32CF-7532-4D42-A127-BA137803F7CC}" name="4* Book2" dataDxfId="167" totalsRowDxfId="166">
      <calculatedColumnFormula>IFERROR(INDEX(TalentBooksImg[Icon], MATCH(_xlfn.CONCAT("philosophiesof",Talent_Books[[#This Row],[NameHelper]]), TalentBooksImg[Name], 0)), "")</calculatedColumnFormula>
    </tableColumn>
    <tableColumn id="20" xr3:uid="{6B5B450B-70DB-41AC-9E14-568FFC401037}" name="4* Need2" totalsRowFunction="custom" dataDxfId="165" totalsRowDxfId="164">
      <calculatedColumnFormula>IFERROR(INDEX(TalentBooksInv[Quantity], MATCH(Talent_Books[[#This Row],[4* Book2]], TalentBooksInv[Icon], 0)), "")</calculatedColumnFormula>
      <totalsRowFormula>SUMIF(Talent_Books[4* Need2],"&gt;=0")</totalsRowFormula>
    </tableColumn>
    <tableColumn id="21" xr3:uid="{1387F69E-B7F0-4653-927B-BB5B211ED270}" name="3* Book2" dataDxfId="163" totalsRowDxfId="162">
      <calculatedColumnFormula>IFERROR(INDEX(TalentBooksImg[Icon], MATCH(_xlfn.CONCAT("guideto",Talent_Books[[#This Row],[NameHelper]]), TalentBooksImg[Name], 0)), "")</calculatedColumnFormula>
    </tableColumn>
    <tableColumn id="22" xr3:uid="{AE6F2E67-46D8-41A6-A4DF-5C019ED6248B}" name="3* Need2" totalsRowFunction="custom" dataDxfId="161" totalsRowDxfId="160">
      <calculatedColumnFormula>IFERROR(INDEX(TalentBooksInv[Quantity], MATCH(Talent_Books[[#This Row],[3* Book2]], TalentBooksInv[Icon], 0)), "")</calculatedColumnFormula>
      <totalsRowFormula>SUMIF(Talent_Books[3* Need2],"&gt;=0")</totalsRowFormula>
    </tableColumn>
    <tableColumn id="8" xr3:uid="{72AFA39A-5EAC-48E2-AE40-06E58B34C1AD}" name="2* Book2" dataDxfId="159" totalsRowDxfId="158">
      <calculatedColumnFormula>IFERROR(INDEX(TalentBooksImg[Icon], MATCH(_xlfn.CONCAT("teachingsof",Talent_Books[[#This Row],[NameHelper]]), TalentBooksImg[Name], 0)), "")</calculatedColumnFormula>
    </tableColumn>
    <tableColumn id="9" xr3:uid="{6A9267B2-6490-4215-B346-F474A9C0EFF9}" name="2* Need2" totalsRowFunction="custom" dataDxfId="157" totalsRowDxfId="156">
      <calculatedColumnFormula>IFERROR(INDEX(TalentBooksInv[Quantity], MATCH(Talent_Books[[#This Row],[2* Book2]], TalentBooksInv[Icon], 0)), "")</calculatedColumnFormula>
      <totalsRowFormula>SUMIF(Talent_Books[2* Need2],"&gt;=0")</totalsRowFormula>
    </tableColumn>
    <tableColumn id="10" xr3:uid="{E6D5A6EE-DED9-4553-B39F-06B0B5C5373B}" name="4* Book3" dataDxfId="155" totalsRowDxfId="154">
      <calculatedColumnFormula>IFERROR(INDEX(TalentBooksImg[Icon], MATCH(_xlfn.CONCAT("philosophiesof",Talent_Books[[#This Row],[NameHelper]]), TalentBooksImg[Name], 0)), "")</calculatedColumnFormula>
    </tableColumn>
    <tableColumn id="23" xr3:uid="{B75670AF-D8CD-4D91-9A3E-7ACC56D609E4}" name="4* Need3" totalsRowFunction="custom" dataDxfId="153" totalsRowDxfId="152">
      <calculatedColumnFormula>Talent_Books[[#This Row],[4* Need]]-Talent_Books[[#This Row],[4* Need2]]</calculatedColumnFormula>
      <totalsRowFormula>SUMIF(Talent_Books[4* Need3],"&gt;=0")</totalsRowFormula>
    </tableColumn>
    <tableColumn id="25" xr3:uid="{8E18B6A3-E6F0-4AFE-849A-183A1AB80A5D}" name="3* Book3" dataDxfId="151" totalsRowDxfId="150">
      <calculatedColumnFormula>IFERROR(INDEX(TalentBooksImg[Icon], MATCH(_xlfn.CONCAT("guideto",Talent_Books[[#This Row],[NameHelper]]), TalentBooksImg[Name], 0)), "")</calculatedColumnFormula>
    </tableColumn>
    <tableColumn id="24" xr3:uid="{87603BC8-55F5-405F-A558-8F64C891BBC7}" name="3* Need3" totalsRowFunction="custom" dataDxfId="149" totalsRowDxfId="148">
      <calculatedColumnFormula>Talent_Books[[#This Row],[3* Need]]-Talent_Books[[#This Row],[3* Need2]]</calculatedColumnFormula>
      <totalsRowFormula>SUMIF(Talent_Books[3* Need3],"&gt;=0")</totalsRowFormula>
    </tableColumn>
    <tableColumn id="11" xr3:uid="{B3750A25-F5EB-4E0D-B5E9-1AE5B505E431}" name="2* Book3" dataDxfId="147" totalsRowDxfId="146">
      <calculatedColumnFormula>IFERROR(INDEX(TalentBooksImg[Icon], MATCH(_xlfn.CONCAT("teachingsof",Talent_Books[[#This Row],[NameHelper]]), TalentBooksImg[Name], 0)), "")</calculatedColumnFormula>
    </tableColumn>
    <tableColumn id="12" xr3:uid="{1FC80303-8A00-4341-9ADC-462F59AD5F0F}" name="2* Need3" totalsRowFunction="custom" dataDxfId="145" totalsRowDxfId="144">
      <calculatedColumnFormula>Talent_Books[[#This Row],[2* Need]]-Talent_Books[[#This Row],[2* Need2]]</calculatedColumnFormula>
      <totalsRowFormula>SUMIF(Talent_Books[2* Need3],"&gt;=0")</totalsRow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12F913-D745-4C24-ACC2-50E45CE14F5C}" name="Weekly_Boss" displayName="Weekly_Boss" ref="A2:H33" totalsRowCount="1" headerRowDxfId="143" dataDxfId="141" totalsRowDxfId="140" headerRowBorderDxfId="142">
  <autoFilter ref="A2:H32" xr:uid="{0D12F913-D745-4C24-ACC2-50E45CE14F5C}"/>
  <sortState xmlns:xlrd2="http://schemas.microsoft.com/office/spreadsheetml/2017/richdata2" ref="A3:H32">
    <sortCondition ref="E2:E32"/>
  </sortState>
  <tableColumns count="8">
    <tableColumn id="1" xr3:uid="{1AF8B431-0CA2-4C3F-ACEE-D1594E30F657}" name="Sl No." totalsRowLabel="Total" dataDxfId="139" totalsRowDxfId="138">
      <calculatedColumnFormula>SUBTOTAL(3,$B$3:Weekly_Boss[[#This Row],[Weekly Boss]])</calculatedColumnFormula>
    </tableColumn>
    <tableColumn id="2" xr3:uid="{9946B1E7-6265-4792-88FB-7D4B0ADE2782}" name="Weekly Boss" dataDxfId="137" totalsRowDxfId="136"/>
    <tableColumn id="8" xr3:uid="{DB84506D-7729-45DB-B9D1-BA2FA5BE2C4B}" name="NameHelper" dataDxfId="135" totalsRowDxfId="134"/>
    <tableColumn id="3" xr3:uid="{2D8682D7-AECB-442B-BE29-2F38E80C2C45}" name="Weekly Boss Material" dataDxfId="133" totalsRowDxfId="132">
      <calculatedColumnFormula>IFERROR(INDEX(WeeklyBossImg[Icon], MATCH(Weekly_Boss[[#This Row],[NameHelper]], WeeklyBossImg[Name], 0)), "")</calculatedColumnFormula>
    </tableColumn>
    <tableColumn id="7" xr3:uid="{8086B8DB-CE3D-4BBE-AB26-5A5B8C8E69F7}" name="Version Released" dataDxfId="131" totalsRowDxfId="130"/>
    <tableColumn id="4" xr3:uid="{34E1C2BE-5B37-4ADF-BA9D-FE111D4F04F4}" name="Need to Farm" totalsRowFunction="sum" dataDxfId="129" totalsRowDxfId="128">
      <calculatedColumnFormula>SUMIF(WeeklyBoss[Material],Weekly_Boss[[#This Row],[Weekly Boss Material]],WeeklyBoss[Need to Farm])</calculatedColumnFormula>
    </tableColumn>
    <tableColumn id="5" xr3:uid="{3324C55E-E38C-41AA-A95E-327F4EC0AD70}" name="Acquired" totalsRowFunction="sum" dataDxfId="127" totalsRowDxfId="126">
      <calculatedColumnFormula>IFERROR(INDEX(WeeklyBossInv[Quantity], MATCH(Weekly_Boss[[#This Row],[Weekly Boss Material]],WeeklyBossInv[Icon], 0)), "")</calculatedColumnFormula>
    </tableColumn>
    <tableColumn id="6" xr3:uid="{6E441E18-6E87-4320-A580-1EEBB3269CE1}" name="Remaining" totalsRowFunction="custom" dataDxfId="125" totalsRowDxfId="124">
      <calculatedColumnFormula>F3-G3</calculatedColumnFormula>
      <totalsRowFormula>SUMIF(Weekly_Boss[Remaining],"&gt;=0")</totalsRow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620294-5B6F-4F6B-A24F-0A7E9FA17EBC}" name="Ascension_Flower" displayName="Ascension_Flower" ref="A2:G46" totalsRowCount="1" headerRowDxfId="123" dataDxfId="122" totalsRowDxfId="121" totalsRowBorderDxfId="120">
  <autoFilter ref="A2:G45" xr:uid="{0D12F913-D745-4C24-ACC2-50E45CE14F5C}"/>
  <sortState xmlns:xlrd2="http://schemas.microsoft.com/office/spreadsheetml/2017/richdata2" ref="A3:G45">
    <sortCondition ref="D2:D45"/>
  </sortState>
  <tableColumns count="7">
    <tableColumn id="1" xr3:uid="{51FEBC3D-1386-4C46-84E4-81ECE9899AAC}" name="Sl No." totalsRowLabel="Total" dataDxfId="119" totalsRowDxfId="118">
      <calculatedColumnFormula>SUBTOTAL(3,$B$3:Ascension_Flower[[#This Row],[Specialty]])</calculatedColumnFormula>
    </tableColumn>
    <tableColumn id="7" xr3:uid="{514C336B-AC58-4280-AB65-1C884595517B}" name="Specialty" dataDxfId="117" totalsRowDxfId="116">
      <calculatedColumnFormula>IFERROR(INDEX(LocalSpecialtiesImg[Icon], MATCH(Ascension_Flower[[#This Row],[HelperName]],LocalSpecialtiesImg[Name], 0)), "")</calculatedColumnFormula>
    </tableColumn>
    <tableColumn id="2" xr3:uid="{5EED3DFC-619A-4F6C-9F55-DFFA136B240B}" name="HelperName" dataDxfId="115" totalsRowDxfId="114"/>
    <tableColumn id="3" xr3:uid="{2E0BE8BD-94A9-45F3-87C2-A844CA07F639}" name="Link to Interactive Map" dataDxfId="113" totalsRowDxfId="112"/>
    <tableColumn id="4" xr3:uid="{C8723A94-0DF1-4181-95F1-5B2320ABDB29}" name="Need to Farm" totalsRowFunction="sum" dataDxfId="111" totalsRowDxfId="110">
      <calculatedColumnFormula>SUMIF(LocalSpecialties3[Local Specialties],Ascension_Flower[[#This Row],[Specialty]],LocalSpecialties3[Need to Farm])</calculatedColumnFormula>
    </tableColumn>
    <tableColumn id="5" xr3:uid="{7AEF3766-2EDE-467B-991F-AC7B238DD897}" name="Acquired" totalsRowFunction="sum" dataDxfId="109" totalsRowDxfId="108">
      <calculatedColumnFormula>IFERROR(INDEX(LocalSpecialtiesInv[Quantity], MATCH(Ascension_Flower[[#This Row],[Specialty]], LocalSpecialtiesInv[Icon], 0)), "")</calculatedColumnFormula>
    </tableColumn>
    <tableColumn id="6" xr3:uid="{C360486C-653F-4F56-9585-5C98BBC0A13D}" name="Remaining" totalsRowFunction="custom" dataDxfId="107" totalsRowDxfId="106">
      <calculatedColumnFormula>Ascension_Flower[[#This Row],[Need to Farm]]-Ascension_Flower[[#This Row],[Acquired]]</calculatedColumnFormula>
      <totalsRowFormula>SUMIF(Ascension_Flower[Remaining],"&gt;=0")</totalsRow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24C9A05-3E1A-4D50-ABD2-C5F97FDC037C}" name="Ascension_Stones4447" displayName="Ascension_Stones4447" ref="A3:Z12" totalsRowCount="1" headerRowDxfId="105" dataDxfId="104" totalsRowDxfId="103">
  <autoFilter ref="A3:Z11" xr:uid="{D441BC84-F527-45D1-9D47-971D432180E8}"/>
  <tableColumns count="26">
    <tableColumn id="1" xr3:uid="{3902D201-C449-42C3-857F-E377609DE69D}" name="Sl No." totalsRowLabel="Total" dataDxfId="102" totalsRowDxfId="101">
      <calculatedColumnFormula>SUBTOTAL(3,$B$4:Ascension_Stones4447[[#This Row],[Stone Name]])</calculatedColumnFormula>
    </tableColumn>
    <tableColumn id="2" xr3:uid="{C3CBE243-160B-413B-A802-80780FAD6C08}" name="Stone Name" totalsRowLabel="Total" dataDxfId="100" totalsRowDxfId="99"/>
    <tableColumn id="3" xr3:uid="{6BB3D62E-467F-4679-8576-178131A06DB8}" name="Gemstone" dataDxfId="98" totalsRowDxfId="97">
      <calculatedColumnFormula>IFERROR(INDEX(GemsImg[Icon], MATCH(_xlfn.CONCAT(Ascension_Stones4447[[#This Row],[Stone Name]],"Gemstone"), GemsImg[Name], 0)), "")</calculatedColumnFormula>
    </tableColumn>
    <tableColumn id="7" xr3:uid="{334D510A-828F-4EB8-B787-0B986E29ECB5}" name="Need to Farm1.1" totalsRowFunction="custom" dataDxfId="96" totalsRowDxfId="95">
      <calculatedColumnFormula>SUMIF(Gemstone[Stone Type],Ascension_Stones4447[[#This Row],[Gemstone]],Gemstone[Gemstone])</calculatedColumnFormula>
      <totalsRowFormula>SUMIF(Ascension_Stones4447[Need to Farm1.1],"&gt;=0")</totalsRowFormula>
    </tableColumn>
    <tableColumn id="10" xr3:uid="{21DD6D68-EE03-4E24-B4ED-84DC01701D52}" name="Chunk" dataDxfId="94" totalsRowDxfId="93">
      <calculatedColumnFormula>IFERROR(INDEX(GemsImg[Icon], MATCH(_xlfn.CONCAT(Ascension_Stones4447[[#This Row],[Stone Name]],"Chunk"), GemsImg[Name], 0)), "")</calculatedColumnFormula>
    </tableColumn>
    <tableColumn id="8" xr3:uid="{A421FF2C-B59D-4662-8F50-2C0494F3EC01}" name="Need to Farm1.2" totalsRowFunction="custom" dataDxfId="92" totalsRowDxfId="91">
      <calculatedColumnFormula>SUMIF(Gemstone[Stone Type],Ascension_Stones4447[[#This Row],[Gemstone]],Gemstone[Chunk])</calculatedColumnFormula>
      <totalsRowFormula>SUMIF(Ascension_Stones4447[Need to Farm1.2],"&gt;=0")</totalsRowFormula>
    </tableColumn>
    <tableColumn id="9" xr3:uid="{AF3F09D6-77A7-4FA4-A88B-13D025A3944D}" name="Fragment" dataDxfId="90" totalsRowDxfId="89">
      <calculatedColumnFormula>IFERROR(INDEX(GemsImg[Icon], MATCH(_xlfn.CONCAT(Ascension_Stones4447[[#This Row],[Stone Name]],"Fragment"), GemsImg[Name], 0)), "")</calculatedColumnFormula>
    </tableColumn>
    <tableColumn id="4" xr3:uid="{6AAE599E-F72A-45FD-88DE-AF3A269A533E}" name="Need to Farm1.3" totalsRowFunction="custom" dataDxfId="88" totalsRowDxfId="87">
      <calculatedColumnFormula>SUMIF(Gemstone[Stone Type],Ascension_Stones4447[[#This Row],[Gemstone]],Gemstone[Fragment])</calculatedColumnFormula>
      <totalsRowFormula>SUMIF(Ascension_Stones4447[Need to Farm1.3],"&gt;=0")</totalsRowFormula>
    </tableColumn>
    <tableColumn id="5" xr3:uid="{370DE459-91CF-4307-8BFD-3D2A9D53A5DE}" name="Silver" dataDxfId="86" totalsRowDxfId="85">
      <calculatedColumnFormula>IFERROR(INDEX(GemsImg[Icon], MATCH(_xlfn.CONCAT(Ascension_Stones4447[[#This Row],[Stone Name]],"Silver"), GemsImg[Name], 0)), "")</calculatedColumnFormula>
    </tableColumn>
    <tableColumn id="6" xr3:uid="{5824E7E5-CD75-47C2-AA39-760D72C4FD78}" name="Need to Farm1.4" totalsRowFunction="custom" dataDxfId="84" totalsRowDxfId="83">
      <calculatedColumnFormula>SUMIF(Gemstone[Stone Type],Ascension_Stones4447[[#This Row],[Gemstone]],Gemstone[Silver])</calculatedColumnFormula>
      <totalsRowFormula>SUMIF(Ascension_Stones4447[Need to Farm1.4],"&gt;=0")</totalsRowFormula>
    </tableColumn>
    <tableColumn id="11" xr3:uid="{87CA98AE-C78D-4212-AD9B-1D334FEF8B40}" name="Gemstone2" dataDxfId="82" totalsRowDxfId="81">
      <calculatedColumnFormula>IFERROR(INDEX(GemsImg[Icon], MATCH(_xlfn.CONCAT(Ascension_Stones4447[[#This Row],[Stone Name]],"Gemstone"), GemsImg[Name], 0)), "")</calculatedColumnFormula>
    </tableColumn>
    <tableColumn id="12" xr3:uid="{08BCD655-99AA-4E37-93EB-5F5314445F00}" name="Need to Farm2.1" totalsRowFunction="custom" dataDxfId="80" totalsRowDxfId="79">
      <calculatedColumnFormula>IFERROR(INDEX(GemsInv[Quantity], MATCH(Ascension_Stones4447[[#This Row],[Gemstone2]], GemsInv[Icon], 0)), "")</calculatedColumnFormula>
      <totalsRowFormula>SUMIF(Ascension_Stones4447[Need to Farm2.1],"&gt;=0")</totalsRowFormula>
    </tableColumn>
    <tableColumn id="13" xr3:uid="{B93F3940-098A-4BE8-956C-3F0D634E146D}" name="Chunk6" dataDxfId="78" totalsRowDxfId="77">
      <calculatedColumnFormula>IFERROR(INDEX(GemsImg[Icon], MATCH(_xlfn.CONCAT(Ascension_Stones4447[[#This Row],[Stone Name]],"Chunk"), GemsImg[Name], 0)), "")</calculatedColumnFormula>
    </tableColumn>
    <tableColumn id="14" xr3:uid="{69B47093-FBC3-4DDC-B350-EC61B7CC7C1B}" name="Need to Farm2.2" totalsRowFunction="custom" dataDxfId="76" totalsRowDxfId="75">
      <calculatedColumnFormula>IFERROR(INDEX(GemsInv[Quantity], MATCH(Ascension_Stones4447[[#This Row],[Chunk6]], GemsInv[Icon], 0)), "")</calculatedColumnFormula>
      <totalsRowFormula>SUMIF(Ascension_Stones4447[Need to Farm2.2],"&gt;=0")</totalsRowFormula>
    </tableColumn>
    <tableColumn id="15" xr3:uid="{745C286C-3625-4CCF-B34C-9BF69E04DF19}" name="Fragment11" dataDxfId="74" totalsRowDxfId="73">
      <calculatedColumnFormula>IFERROR(INDEX(GemsImg[Icon], MATCH(_xlfn.CONCAT(Ascension_Stones4447[[#This Row],[Stone Name]],"Fragment"), GemsImg[Name], 0)), "")</calculatedColumnFormula>
    </tableColumn>
    <tableColumn id="16" xr3:uid="{8D528068-97D8-45B3-8831-4285E79F1913}" name="Need to Farm2.3" totalsRowFunction="custom" dataDxfId="72" totalsRowDxfId="71">
      <calculatedColumnFormula>IFERROR(INDEX(GemsInv[Quantity], MATCH(Ascension_Stones4447[[#This Row],[Fragment11]], GemsInv[Icon], 0)), "")</calculatedColumnFormula>
      <totalsRowFormula>SUMIF(Ascension_Stones4447[Need to Farm2.3],"&gt;=0")</totalsRowFormula>
    </tableColumn>
    <tableColumn id="17" xr3:uid="{B315C653-7E1C-47DF-A6C7-410805E941C8}" name="Silver13" dataDxfId="70" totalsRowDxfId="69">
      <calculatedColumnFormula>IFERROR(INDEX(GemsImg[Icon], MATCH(_xlfn.CONCAT(Ascension_Stones4447[[#This Row],[Stone Name]],"Silver"), GemsImg[Name], 0)), "")</calculatedColumnFormula>
    </tableColumn>
    <tableColumn id="18" xr3:uid="{CF8CBB32-E342-4649-A85B-A7F97ECFCC8F}" name="Need to Farm2.4" totalsRowFunction="custom" dataDxfId="68" totalsRowDxfId="67">
      <calculatedColumnFormula>IFERROR(INDEX(GemsInv[Quantity], MATCH(Ascension_Stones4447[[#This Row],[Silver13]], GemsInv[Icon], 0)), "")</calculatedColumnFormula>
      <totalsRowFormula>SUMIF(Ascension_Stones4447[Need to Farm2.4],"&gt;=0")</totalsRowFormula>
    </tableColumn>
    <tableColumn id="19" xr3:uid="{35075740-F4DF-4148-98AB-015DBF8CCCCE}" name="Gemstone3" dataDxfId="66" totalsRowDxfId="65">
      <calculatedColumnFormula>IFERROR(INDEX(GemsImg[Icon], MATCH(_xlfn.CONCAT(Ascension_Stones4447[[#This Row],[Stone Name]],"Gemstone"), GemsImg[Name], 0)), "")</calculatedColumnFormula>
    </tableColumn>
    <tableColumn id="20" xr3:uid="{94BC09FE-1DC5-47E4-B27D-CC70F618CDBF}" name="Need to Farm3.1" totalsRowFunction="custom" dataDxfId="64" totalsRowDxfId="63">
      <calculatedColumnFormula>Ascension_Stones4447[[#This Row],[Need to Farm1.1]]-Ascension_Stones4447[[#This Row],[Need to Farm2.1]]</calculatedColumnFormula>
      <totalsRowFormula>SUMIF(Ascension_Stones4447[Need to Farm3.1],"&gt;=0")</totalsRowFormula>
    </tableColumn>
    <tableColumn id="21" xr3:uid="{3452593B-82E7-4ADB-A728-481A46AE8097}" name="Chunk7" dataDxfId="62" totalsRowDxfId="61">
      <calculatedColumnFormula>IFERROR(INDEX(GemsImg[Icon], MATCH(_xlfn.CONCAT(Ascension_Stones4447[[#This Row],[Stone Name]],"Chunk"), GemsImg[Name], 0)), "")</calculatedColumnFormula>
    </tableColumn>
    <tableColumn id="22" xr3:uid="{8BB02599-A368-4280-B284-72D02CFFF4B2}" name="Need to Farm3.2" totalsRowFunction="custom" dataDxfId="60" totalsRowDxfId="59">
      <calculatedColumnFormula>Ascension_Stones4447[[#This Row],[Need to Farm1.2]]-Ascension_Stones4447[[#This Row],[Need to Farm2.2]]</calculatedColumnFormula>
      <totalsRowFormula>SUMIF(Ascension_Stones4447[Need to Farm3.2],"&gt;=0")</totalsRowFormula>
    </tableColumn>
    <tableColumn id="23" xr3:uid="{5B63FAD4-1A5F-4A61-BA97-A56F7CA9574F}" name="Fragment12" dataDxfId="58" totalsRowDxfId="57">
      <calculatedColumnFormula>IFERROR(INDEX(GemsImg[Icon], MATCH(_xlfn.CONCAT(Ascension_Stones4447[[#This Row],[Stone Name]],"Fragment"), GemsImg[Name], 0)), "")</calculatedColumnFormula>
    </tableColumn>
    <tableColumn id="24" xr3:uid="{FFC6F94E-A0E4-485E-B6F0-D05802DAD84E}" name="Need to Farm3.3" totalsRowFunction="custom" dataDxfId="56" totalsRowDxfId="55">
      <calculatedColumnFormula>Ascension_Stones4447[[#This Row],[Need to Farm1.3]]-Ascension_Stones4447[[#This Row],[Need to Farm2.3]]</calculatedColumnFormula>
      <totalsRowFormula>SUMIF(Ascension_Stones4447[Need to Farm3.3],"&gt;=0")</totalsRowFormula>
    </tableColumn>
    <tableColumn id="25" xr3:uid="{9B7DCCC3-3F02-4420-A62E-5E8E7E883A23}" name="Silver14" dataDxfId="54" totalsRowDxfId="53">
      <calculatedColumnFormula>IFERROR(INDEX(GemsImg[Icon], MATCH(_xlfn.CONCAT(Ascension_Stones4447[[#This Row],[Stone Name]],"Silver"), GemsImg[Name], 0)), "")</calculatedColumnFormula>
    </tableColumn>
    <tableColumn id="26" xr3:uid="{BFA5A695-83F8-4BA2-AB7B-90429981260C}" name="Need to Farm3.4" totalsRowFunction="custom" dataDxfId="52" totalsRowDxfId="51">
      <calculatedColumnFormula>Ascension_Stones4447[[#This Row],[Need to Farm1.4]]-Ascension_Stones4447[[#This Row],[Need to Farm2.4]]</calculatedColumnFormula>
      <totalsRowFormula>SUMIF(Ascension_Stones4447[Need to Farm3.4],"&gt;=0")</totalsRowFormula>
    </tableColumn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7790BAA-D9BD-4F0D-B279-02DEBC4A05B5}" name="Monster_Materials" displayName="Monster_Materials" ref="A3:X17" totalsRowCount="1" headerRowDxfId="50" dataDxfId="49" totalsRowDxfId="48">
  <autoFilter ref="A3:X16" xr:uid="{EF6DC38F-9522-4CC1-A0E2-54BB0746C847}"/>
  <sortState xmlns:xlrd2="http://schemas.microsoft.com/office/spreadsheetml/2017/richdata2" ref="A4:X16">
    <sortCondition ref="F3:F16"/>
  </sortState>
  <tableColumns count="24">
    <tableColumn id="1" xr3:uid="{ECF6DA46-46F5-4E3A-A43B-07A3A012EF2D}" name="Sl No." totalsRowLabel="Total" dataDxfId="47" totalsRowDxfId="46">
      <calculatedColumnFormula>SUBTOTAL(3,$B$4:Monster_Materials[[#This Row],[Link to Interactive Map]])</calculatedColumnFormula>
    </tableColumn>
    <tableColumn id="2" xr3:uid="{D35C18E8-5E75-4BA1-8EDE-2F9C02ABD0EC}" name="Link to Interactive Map" dataDxfId="45" totalsRowDxfId="44"/>
    <tableColumn id="26" xr3:uid="{B8E98898-B5FE-4AAD-99C0-6B87269176EA}" name="HelperName3*" dataDxfId="43" totalsRowDxfId="42" dataCellStyle="Hyperlink"/>
    <tableColumn id="28" xr3:uid="{4493B949-E822-4129-9D44-0FB8BFA7335B}" name="HelperName2*" dataDxfId="41" totalsRowDxfId="40" dataCellStyle="Hyperlink"/>
    <tableColumn id="27" xr3:uid="{F3236BB7-D2E1-4141-8081-B5D53FB7585F}" name="HelperName1*" dataDxfId="39" totalsRowDxfId="38" dataCellStyle="Hyperlink"/>
    <tableColumn id="7" xr3:uid="{93E72A5F-EE10-4F6C-9FA6-0DA944789027}" name="Version Released" dataDxfId="37" totalsRowDxfId="36"/>
    <tableColumn id="3" xr3:uid="{26D624C4-25AE-4F0C-8A85-62CB6CEDF684}" name="3* Mats" dataDxfId="35" totalsRowDxfId="34">
      <calculatedColumnFormula>IFERROR(INDEX(MonsterMaterialsImg[3*Icon], MATCH(Monster_Materials[[#This Row],[HelperName3*]], MonsterMaterialsImg[3*Name], 0)), "")</calculatedColumnFormula>
    </tableColumn>
    <tableColumn id="10" xr3:uid="{34B62BF6-C51C-4934-A9F3-27E600E1EC6A}" name="Need1" totalsRowFunction="custom" dataDxfId="33" totalsRowDxfId="32">
      <calculatedColumnFormula>(SUMIF(MonsterMaterials[Material Type],Monster_Materials[[#This Row],[3* Mats]],MonsterMaterials[3* (Asc)]))+(SUMIF(MonsterMaterials[Material Type],Monster_Materials[[#This Row],[3* Mats]],MonsterMaterials[3* (Tal)]))</calculatedColumnFormula>
      <totalsRowFormula>SUMIF(Monster_Materials[Need1],"&gt;=0")</totalsRowFormula>
    </tableColumn>
    <tableColumn id="11" xr3:uid="{247B3290-5F7E-48F1-8B39-3AD2EA423003}" name="2* Mats" dataDxfId="31" totalsRowDxfId="30">
      <calculatedColumnFormula>IFERROR(INDEX(MonsterMaterialsImg[2*Icon], MATCH(Monster_Materials[[#This Row],[HelperName2*]], MonsterMaterialsImg[2*Name], 0)), "")</calculatedColumnFormula>
    </tableColumn>
    <tableColumn id="12" xr3:uid="{4FCC8105-E28D-4955-B455-0AB36879E3E1}" name="Need2" totalsRowFunction="custom" dataDxfId="29" totalsRowDxfId="28">
      <calculatedColumnFormula>(SUMIF(MonsterMaterials[Material Type],Monster_Materials[[#This Row],[3* Mats]],MonsterMaterials[2* (Asc)]))+(SUMIF(MonsterMaterials[Material Type],Monster_Materials[[#This Row],[3* Mats]],MonsterMaterials[2* (Tal)]))</calculatedColumnFormula>
      <totalsRowFormula>SUMIF(Monster_Materials[Need2],"&gt;=0")</totalsRowFormula>
    </tableColumn>
    <tableColumn id="13" xr3:uid="{44FE3CAC-EAFF-43D7-807F-B5F18784B53B}" name="1* Mats" dataDxfId="27" totalsRowDxfId="26">
      <calculatedColumnFormula>IFERROR(INDEX(MonsterMaterialsImg[1*Icon], MATCH(Monster_Materials[[#This Row],[HelperName1*]], MonsterMaterialsImg[1*Name], 0)), "")</calculatedColumnFormula>
    </tableColumn>
    <tableColumn id="14" xr3:uid="{E02FB3DE-28C4-4DCE-BBB6-7E051FCBA83F}" name="Need3" totalsRowFunction="custom" dataDxfId="25" totalsRowDxfId="24">
      <calculatedColumnFormula>(SUMIF(MonsterMaterials[Material Type],Monster_Materials[[#This Row],[3* Mats]],MonsterMaterials[1* (Asc)]))+(SUMIF(MonsterMaterials[Material Type],Monster_Materials[[#This Row],[3* Mats]],MonsterMaterials[1* (Tal)]))</calculatedColumnFormula>
      <totalsRowFormula>SUMIF(Monster_Materials[Need3],"&gt;=0")</totalsRowFormula>
    </tableColumn>
    <tableColumn id="15" xr3:uid="{59048AB7-D221-446B-B575-D6242B10C5ED}" name="3* Mats2" dataDxfId="23" totalsRowDxfId="22">
      <calculatedColumnFormula>IFERROR(INDEX(MonsterMaterialsImg[3*Icon], MATCH(Monster_Materials[[#This Row],[HelperName3*]], MonsterMaterialsImg[3*Name], 0)), "")</calculatedColumnFormula>
    </tableColumn>
    <tableColumn id="16" xr3:uid="{05210CD1-5062-4C9A-8FAE-9DC948952D62}" name="Acquired1" totalsRowFunction="custom" dataDxfId="21" totalsRowDxfId="20">
      <calculatedColumnFormula>IFERROR(INDEX(MonsterMaterialsInv[3* Quantity], MATCH(Monster_Materials[[#This Row],[3* Mats2]], MonsterMaterialsInv[3* Icon], 0)), "")</calculatedColumnFormula>
      <totalsRowFormula>SUMIF(Monster_Materials[Acquired1],"&gt;=0")</totalsRowFormula>
    </tableColumn>
    <tableColumn id="17" xr3:uid="{282EFCF7-300B-4F76-A7D7-37BF091FFF7C}" name="2* Mats2" dataDxfId="19" totalsRowDxfId="18">
      <calculatedColumnFormula>IFERROR(INDEX(MonsterMaterialsImg[2*Icon], MATCH(Monster_Materials[[#This Row],[HelperName2*]], MonsterMaterialsImg[2*Name], 0)), "")</calculatedColumnFormula>
    </tableColumn>
    <tableColumn id="18" xr3:uid="{081CE9EC-D967-495B-AA5A-6A0B8331DDC4}" name="Acquired2" totalsRowFunction="custom" dataDxfId="17" totalsRowDxfId="16">
      <calculatedColumnFormula>IFERROR(INDEX(MonsterMaterialsInv[2* Quantity], MATCH(Monster_Materials[[#This Row],[2* Mats2]], MonsterMaterialsInv[2* Icon], 0)), "")</calculatedColumnFormula>
      <totalsRowFormula>SUMIF(Monster_Materials[Acquired2],"&gt;=0")</totalsRowFormula>
    </tableColumn>
    <tableColumn id="19" xr3:uid="{021B2FE9-D36A-4F7F-B6D4-3CB8DDFCB5D1}" name="1* Mats2" dataDxfId="15" totalsRowDxfId="14">
      <calculatedColumnFormula>IFERROR(INDEX(MonsterMaterialsImg[1*Icon], MATCH(Monster_Materials[[#This Row],[HelperName1*]], MonsterMaterialsImg[1*Name], 0)), "")</calculatedColumnFormula>
    </tableColumn>
    <tableColumn id="5" xr3:uid="{0F0FA735-A443-4BFE-9EAF-A7C072949FBB}" name="Acquired3" totalsRowFunction="custom" dataDxfId="13" totalsRowDxfId="12">
      <calculatedColumnFormula>IFERROR(INDEX(MonsterMaterialsInv[1* Quantity], MATCH(Monster_Materials[[#This Row],[1* Mats2]], MonsterMaterialsInv[1* Icon], 0)), "")</calculatedColumnFormula>
      <totalsRowFormula>SUMIF(Monster_Materials[Acquired3],"&gt;=0")</totalsRowFormula>
    </tableColumn>
    <tableColumn id="20" xr3:uid="{A8AAB874-3386-486A-9923-31F8872FFD73}" name="3* Mats3" dataDxfId="11" totalsRowDxfId="10">
      <calculatedColumnFormula>IFERROR(INDEX(MonsterMaterialsImg[3*Icon], MATCH(Monster_Materials[[#This Row],[HelperName3*]], MonsterMaterialsImg[3*Name], 0)), "")</calculatedColumnFormula>
    </tableColumn>
    <tableColumn id="21" xr3:uid="{BF864C5F-B0B2-47DA-A216-F938F018A0AA}" name="Remaining1" totalsRowFunction="custom" dataDxfId="9" totalsRowDxfId="8">
      <calculatedColumnFormula>Monster_Materials[[#This Row],[Need1]]-Monster_Materials[[#This Row],[Acquired1]]</calculatedColumnFormula>
      <totalsRowFormula>SUMIF(Monster_Materials[Remaining1],"&gt;=0")</totalsRowFormula>
    </tableColumn>
    <tableColumn id="22" xr3:uid="{9781FD4C-138D-4DDC-9948-D55692A0D883}" name="2* Mats3" dataDxfId="7" totalsRowDxfId="6">
      <calculatedColumnFormula>IFERROR(INDEX(MonsterMaterialsImg[2*Icon], MATCH(Monster_Materials[[#This Row],[HelperName2*]], MonsterMaterialsImg[2*Name], 0)), "")</calculatedColumnFormula>
    </tableColumn>
    <tableColumn id="23" xr3:uid="{C960716F-02F1-4640-8632-CFA8E0EB39FE}" name="Remaining2" totalsRowFunction="custom" dataDxfId="5" totalsRowDxfId="4">
      <calculatedColumnFormula>Monster_Materials[[#This Row],[Need2]]-Monster_Materials[[#This Row],[Acquired2]]</calculatedColumnFormula>
      <totalsRowFormula>SUMIF(Monster_Materials[Remaining2],"&gt;=0")</totalsRowFormula>
    </tableColumn>
    <tableColumn id="24" xr3:uid="{7A7041F3-7715-4B56-A6F9-E675A3167458}" name="1* Mats3" dataDxfId="3" totalsRowDxfId="2">
      <calculatedColumnFormula>IFERROR(INDEX(MonsterMaterialsImg[1*Icon], MATCH(Monster_Materials[[#This Row],[HelperName1*]], MonsterMaterialsImg[1*Name], 0)), "")</calculatedColumnFormula>
    </tableColumn>
    <tableColumn id="6" xr3:uid="{97CC42D0-5881-41F5-A3E4-AE9CAAFA6F1F}" name="Remaining3" totalsRowFunction="custom" dataDxfId="1" totalsRowDxfId="0">
      <calculatedColumnFormula>Monster_Materials[[#This Row],[Need3]]-Monster_Materials[[#This Row],[Acquired3]]</calculatedColumnFormula>
      <totalsRowFormula>SUMIF(Monster_Materials[Remaining3],"&gt;=0")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9AEE8C3-CE0C-4BD4-B29D-9BBCFF59D6AB}">
  <we:reference id="wa104100404" version="3.0.0.1" store="en-US" storeType="OMEX"/>
  <we:alternateReferences>
    <we:reference id="wa104100404" version="3.0.0.1" store="wa104100404" storeType="OMEX"/>
  </we:alternateReferences>
  <we:properties>
    <we:property name="UniqueID" value="&quot;20242181710707677177&quot;"/>
    <we:property name="NSkwBFV1DR8RNWIlOQxDTC0kKA==" value="&quot;&quot;"/>
    <we:property name="NSkwBFV1DR8RNWIlOQxDTBEpLh5UJxAVDCE=" value="&quot;JRQF&quot;"/>
    <we:property name="NSkwBFV1DR8RNWIlOQxDTC8nOiVYOw==" value="&quot;Uw==&quot;"/>
    <we:property name="NSkwBFV1DR8RNWIlOQxDTBEpLh5UJxAeByE=" value="&quot;Ug==&quot;"/>
  </we:properties>
  <we:bindings>
    <we:binding id="refEdit" type="matrix" appref="{9E65AD8B-7BB3-4A71-85F6-D011FA0D28F3}"/>
    <we:binding id="Worker" type="matrix" appref="{236CC71B-C42B-43C8-92CF-6A62E49BDB20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C2760E4-E0B6-43CD-A72C-CDDEDE7D1D3F}">
  <we:reference id="wa200006180" version="1.0.0.3" store="en-US" storeType="OMEX"/>
  <we:alternateReferences>
    <we:reference id="WA200006180" version="1.0.0.3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6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56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65.emf"/><Relationship Id="rId5" Type="http://schemas.openxmlformats.org/officeDocument/2006/relationships/image" Target="../media/image562.emf"/><Relationship Id="rId15" Type="http://schemas.openxmlformats.org/officeDocument/2006/relationships/image" Target="../media/image56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64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comments" Target="../comments2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0" Type="http://schemas.openxmlformats.org/officeDocument/2006/relationships/table" Target="../tables/table31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4" Type="http://schemas.openxmlformats.org/officeDocument/2006/relationships/table" Target="../tables/table38.xml"/><Relationship Id="rId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5" Type="http://schemas.openxmlformats.org/officeDocument/2006/relationships/table" Target="../tables/table40.xml"/><Relationship Id="rId1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E7983-3B41-420D-A8D6-A665F4D74192}">
  <sheetPr codeName="Sheet1">
    <tabColor rgb="FFFF0000"/>
  </sheetPr>
  <dimension ref="A1:L29"/>
  <sheetViews>
    <sheetView workbookViewId="0">
      <selection activeCell="K11" sqref="K11"/>
    </sheetView>
  </sheetViews>
  <sheetFormatPr defaultColWidth="9.140625" defaultRowHeight="15" x14ac:dyDescent="0.25"/>
  <cols>
    <col min="1" max="2" width="25" style="1" customWidth="1"/>
    <col min="3" max="3" width="2.28515625" style="1" customWidth="1"/>
    <col min="4" max="5" width="25" style="1" customWidth="1"/>
    <col min="6" max="6" width="2.28515625" style="1" customWidth="1"/>
    <col min="7" max="8" width="25" style="1" customWidth="1"/>
    <col min="9" max="9" width="2.28515625" style="1" customWidth="1"/>
    <col min="10" max="10" width="9.140625" style="1"/>
    <col min="11" max="11" width="22.7109375" style="1" bestFit="1" customWidth="1"/>
    <col min="12" max="12" width="19.85546875" style="1" bestFit="1" customWidth="1"/>
    <col min="13" max="13" width="2.28515625" style="1" customWidth="1"/>
    <col min="14" max="16384" width="9.140625" style="1"/>
  </cols>
  <sheetData>
    <row r="1" spans="1:11" ht="15.75" thickBot="1" x14ac:dyDescent="0.3"/>
    <row r="2" spans="1:11" x14ac:dyDescent="0.25">
      <c r="A2" s="20" t="s">
        <v>0</v>
      </c>
      <c r="B2" s="21" t="s">
        <v>1</v>
      </c>
      <c r="D2" s="20" t="s">
        <v>2</v>
      </c>
      <c r="E2" s="21" t="s">
        <v>3</v>
      </c>
      <c r="G2" s="20" t="s">
        <v>4</v>
      </c>
      <c r="H2" s="21" t="s">
        <v>5</v>
      </c>
      <c r="J2" s="190" t="s">
        <v>6</v>
      </c>
      <c r="K2" s="190"/>
    </row>
    <row r="3" spans="1:11" x14ac:dyDescent="0.25">
      <c r="A3" s="22" t="s">
        <v>7</v>
      </c>
      <c r="B3" s="23">
        <v>5</v>
      </c>
      <c r="D3" s="22" t="s">
        <v>8</v>
      </c>
      <c r="E3" s="24" t="s">
        <v>9</v>
      </c>
      <c r="G3" s="22" t="s">
        <v>10</v>
      </c>
      <c r="H3" s="24" t="s">
        <v>11</v>
      </c>
      <c r="J3" s="190"/>
      <c r="K3" s="190"/>
    </row>
    <row r="4" spans="1:11" x14ac:dyDescent="0.25">
      <c r="A4" s="25"/>
      <c r="B4" s="26"/>
      <c r="D4" s="22" t="s">
        <v>12</v>
      </c>
      <c r="E4" s="24" t="s">
        <v>13</v>
      </c>
      <c r="G4" s="22" t="s">
        <v>14</v>
      </c>
      <c r="H4" s="24" t="s">
        <v>15</v>
      </c>
      <c r="J4" s="190"/>
      <c r="K4" s="190"/>
    </row>
    <row r="5" spans="1:11" x14ac:dyDescent="0.25">
      <c r="A5" s="25"/>
      <c r="B5" s="26"/>
      <c r="D5" s="22" t="s">
        <v>16</v>
      </c>
      <c r="E5" s="24" t="s">
        <v>17</v>
      </c>
      <c r="G5" s="22" t="s">
        <v>18</v>
      </c>
      <c r="H5" s="24" t="s">
        <v>19</v>
      </c>
      <c r="J5" s="190"/>
      <c r="K5" s="190"/>
    </row>
    <row r="6" spans="1:11" x14ac:dyDescent="0.25">
      <c r="A6" s="25"/>
      <c r="B6" s="26"/>
      <c r="D6" s="22" t="s">
        <v>7</v>
      </c>
      <c r="E6" s="23">
        <v>5</v>
      </c>
      <c r="G6" s="22" t="s">
        <v>7</v>
      </c>
      <c r="H6" s="23">
        <v>5</v>
      </c>
    </row>
    <row r="7" spans="1:11" x14ac:dyDescent="0.25">
      <c r="A7" s="25"/>
      <c r="B7" s="26"/>
      <c r="D7" s="25"/>
      <c r="E7" s="26"/>
      <c r="G7" s="25"/>
      <c r="H7" s="26"/>
    </row>
    <row r="8" spans="1:11" x14ac:dyDescent="0.25">
      <c r="A8" s="25"/>
      <c r="B8" s="26"/>
      <c r="D8" s="25"/>
      <c r="E8" s="26"/>
      <c r="G8" s="25"/>
      <c r="H8" s="26"/>
    </row>
    <row r="9" spans="1:11" x14ac:dyDescent="0.25">
      <c r="A9" s="25"/>
      <c r="B9" s="26"/>
      <c r="D9" s="25"/>
      <c r="E9" s="26"/>
      <c r="G9" s="25"/>
      <c r="H9" s="26"/>
    </row>
    <row r="10" spans="1:11" x14ac:dyDescent="0.25">
      <c r="A10" s="25"/>
      <c r="B10" s="26"/>
      <c r="D10" s="25"/>
      <c r="E10" s="26"/>
      <c r="G10" s="25"/>
      <c r="H10" s="26"/>
    </row>
    <row r="11" spans="1:11" ht="15.75" thickBot="1" x14ac:dyDescent="0.3">
      <c r="A11" s="27"/>
      <c r="B11" s="28"/>
      <c r="D11" s="27"/>
      <c r="E11" s="28"/>
      <c r="G11" s="27"/>
      <c r="H11" s="28"/>
    </row>
    <row r="14" spans="1:11" ht="15.75" thickBot="1" x14ac:dyDescent="0.3"/>
    <row r="15" spans="1:11" ht="30" customHeight="1" x14ac:dyDescent="0.25">
      <c r="A15" s="20" t="s">
        <v>20</v>
      </c>
      <c r="B15" s="21" t="s">
        <v>21</v>
      </c>
      <c r="D15" s="20" t="s">
        <v>22</v>
      </c>
      <c r="E15" s="21" t="s">
        <v>23</v>
      </c>
      <c r="G15" s="20" t="s">
        <v>24</v>
      </c>
      <c r="H15" s="29" t="s">
        <v>25</v>
      </c>
      <c r="J15" s="30" t="s">
        <v>26</v>
      </c>
    </row>
    <row r="16" spans="1:11" ht="30" customHeight="1" x14ac:dyDescent="0.25">
      <c r="A16" s="31"/>
      <c r="B16" s="32"/>
      <c r="D16" s="22" t="s">
        <v>27</v>
      </c>
      <c r="E16" s="24" t="s">
        <v>28</v>
      </c>
      <c r="G16" s="22" t="s">
        <v>29</v>
      </c>
      <c r="H16" s="24" t="e" vm="1">
        <v>#VALUE!</v>
      </c>
      <c r="J16" s="30" t="s">
        <v>30</v>
      </c>
    </row>
    <row r="17" spans="1:12" ht="30" customHeight="1" x14ac:dyDescent="0.25">
      <c r="A17" s="25"/>
      <c r="B17" s="26"/>
      <c r="D17" s="22" t="s">
        <v>31</v>
      </c>
      <c r="E17" s="24" t="s">
        <v>23</v>
      </c>
      <c r="G17" s="22" t="s">
        <v>7</v>
      </c>
      <c r="H17" s="23">
        <v>4.8</v>
      </c>
      <c r="J17" s="30" t="s">
        <v>32</v>
      </c>
    </row>
    <row r="18" spans="1:12" ht="30" customHeight="1" x14ac:dyDescent="0.25">
      <c r="A18" s="25"/>
      <c r="B18" s="26"/>
      <c r="D18" s="22" t="s">
        <v>33</v>
      </c>
      <c r="E18" s="24" t="s">
        <v>34</v>
      </c>
      <c r="G18" s="22" t="s">
        <v>0</v>
      </c>
      <c r="H18" s="24" t="s">
        <v>35</v>
      </c>
      <c r="J18" s="30" t="s">
        <v>30</v>
      </c>
    </row>
    <row r="19" spans="1:12" ht="30" customHeight="1" x14ac:dyDescent="0.25">
      <c r="A19" s="25"/>
      <c r="B19" s="26"/>
      <c r="D19" s="22" t="s">
        <v>7</v>
      </c>
      <c r="E19" s="23">
        <v>5</v>
      </c>
      <c r="G19" s="22" t="s">
        <v>36</v>
      </c>
      <c r="H19" s="24" t="s">
        <v>37</v>
      </c>
      <c r="J19" s="30" t="s">
        <v>30</v>
      </c>
    </row>
    <row r="20" spans="1:12" ht="30" customHeight="1" x14ac:dyDescent="0.25">
      <c r="A20" s="25"/>
      <c r="B20" s="26"/>
      <c r="D20" s="25"/>
      <c r="E20" s="26"/>
      <c r="G20" s="22" t="s">
        <v>4</v>
      </c>
      <c r="H20" s="24" t="s">
        <v>38</v>
      </c>
      <c r="J20" s="30" t="s">
        <v>30</v>
      </c>
    </row>
    <row r="21" spans="1:12" ht="30" customHeight="1" x14ac:dyDescent="0.25">
      <c r="A21" s="25"/>
      <c r="B21" s="26"/>
      <c r="D21" s="25"/>
      <c r="E21" s="26"/>
      <c r="G21" s="22" t="s">
        <v>39</v>
      </c>
      <c r="H21" s="24" t="s">
        <v>40</v>
      </c>
      <c r="J21" s="30" t="s">
        <v>30</v>
      </c>
    </row>
    <row r="22" spans="1:12" ht="30" customHeight="1" x14ac:dyDescent="0.25">
      <c r="A22" s="25"/>
      <c r="B22" s="26"/>
      <c r="D22" s="25"/>
      <c r="E22" s="26"/>
      <c r="G22" s="22" t="s">
        <v>20</v>
      </c>
      <c r="H22" s="24" t="s">
        <v>41</v>
      </c>
      <c r="J22" s="30" t="s">
        <v>30</v>
      </c>
    </row>
    <row r="23" spans="1:12" ht="30" customHeight="1" x14ac:dyDescent="0.25">
      <c r="A23" s="25"/>
      <c r="B23" s="26"/>
      <c r="D23" s="25"/>
      <c r="E23" s="26"/>
      <c r="G23" s="22" t="s">
        <v>42</v>
      </c>
      <c r="H23" s="24" t="e" vm="2">
        <f>IF(H16="Anemo","Vayuda Turquoise (Anemo)",IF(H16="Geo","Prithiva Topaz (Geo)",IF(H16="Electro","Vajrada Amethyst (Electro)",IF(H16="Dendro","Nagadus Emerald (Dendro)",IF(H16="Hydro","Varunada Lazurite (Hydro)",IF(H16="Pyro","Agnidus Agate (Pyro)",IF(H16="Cryo","Shivada Jade (Cryo)","")))))))</f>
        <v>#VALUE!</v>
      </c>
      <c r="J23" s="30" t="s">
        <v>43</v>
      </c>
    </row>
    <row r="24" spans="1:12" ht="30" customHeight="1" thickBot="1" x14ac:dyDescent="0.3">
      <c r="A24" s="27"/>
      <c r="B24" s="28"/>
      <c r="D24" s="27"/>
      <c r="E24" s="28"/>
      <c r="G24" s="33" t="s">
        <v>22</v>
      </c>
      <c r="H24" s="34" t="s">
        <v>44</v>
      </c>
      <c r="J24" s="30" t="s">
        <v>30</v>
      </c>
    </row>
    <row r="26" spans="1:12" x14ac:dyDescent="0.25">
      <c r="J26" s="30" t="s">
        <v>45</v>
      </c>
    </row>
    <row r="27" spans="1:12" x14ac:dyDescent="0.25">
      <c r="J27" s="30" t="s">
        <v>46</v>
      </c>
    </row>
    <row r="28" spans="1:12" x14ac:dyDescent="0.25">
      <c r="J28" s="30" t="s">
        <v>47</v>
      </c>
    </row>
    <row r="29" spans="1:12" x14ac:dyDescent="0.25">
      <c r="J29" s="30" t="s">
        <v>48</v>
      </c>
      <c r="L29" s="35"/>
    </row>
  </sheetData>
  <mergeCells count="1">
    <mergeCell ref="J2:K5"/>
  </mergeCells>
  <dataValidations count="2">
    <dataValidation type="list" allowBlank="1" showInputMessage="1" showErrorMessage="1" sqref="H18" xr:uid="{52A2168F-B676-42DF-B1E9-1B2060767213}">
      <formula1>INDIRECT("World_Boss[World Boss]")</formula1>
    </dataValidation>
    <dataValidation type="list" allowBlank="1" showInputMessage="1" showErrorMessage="1" sqref="H20 H24" xr:uid="{9B79BBDA-3691-4808-B900-1277549F7212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104" r:id="rId4" name="WorldBoss">
          <controlPr defaultSize="0" autoFill="0" autoLine="0" r:id="rId5">
            <anchor moveWithCells="1">
              <from>
                <xdr:col>0</xdr:col>
                <xdr:colOff>666750</xdr:colOff>
                <xdr:row>11</xdr:row>
                <xdr:rowOff>47625</xdr:rowOff>
              </from>
              <to>
                <xdr:col>1</xdr:col>
                <xdr:colOff>981075</xdr:colOff>
                <xdr:row>13</xdr:row>
                <xdr:rowOff>9525</xdr:rowOff>
              </to>
            </anchor>
          </controlPr>
        </control>
      </mc:Choice>
      <mc:Fallback>
        <control shapeId="3104" r:id="rId4" name="WorldBoss"/>
      </mc:Fallback>
    </mc:AlternateContent>
    <mc:AlternateContent xmlns:mc="http://schemas.openxmlformats.org/markup-compatibility/2006">
      <mc:Choice Requires="x14">
        <control shapeId="3103" r:id="rId6" name="TalentBook">
          <controlPr defaultSize="0" autoFill="0" autoLine="0" r:id="rId7">
            <anchor moveWithCells="1">
              <from>
                <xdr:col>3</xdr:col>
                <xdr:colOff>666750</xdr:colOff>
                <xdr:row>11</xdr:row>
                <xdr:rowOff>47625</xdr:rowOff>
              </from>
              <to>
                <xdr:col>4</xdr:col>
                <xdr:colOff>1009650</xdr:colOff>
                <xdr:row>13</xdr:row>
                <xdr:rowOff>19050</xdr:rowOff>
              </to>
            </anchor>
          </controlPr>
        </control>
      </mc:Choice>
      <mc:Fallback>
        <control shapeId="3103" r:id="rId6" name="TalentBook"/>
      </mc:Fallback>
    </mc:AlternateContent>
    <mc:AlternateContent xmlns:mc="http://schemas.openxmlformats.org/markup-compatibility/2006">
      <mc:Choice Requires="x14">
        <control shapeId="3102" r:id="rId8" name="WeeklyBoss">
          <controlPr defaultSize="0" autoFill="0" autoLine="0" r:id="rId9">
            <anchor moveWithCells="1">
              <from>
                <xdr:col>6</xdr:col>
                <xdr:colOff>666750</xdr:colOff>
                <xdr:row>11</xdr:row>
                <xdr:rowOff>47625</xdr:rowOff>
              </from>
              <to>
                <xdr:col>7</xdr:col>
                <xdr:colOff>1019175</xdr:colOff>
                <xdr:row>13</xdr:row>
                <xdr:rowOff>19050</xdr:rowOff>
              </to>
            </anchor>
          </controlPr>
        </control>
      </mc:Choice>
      <mc:Fallback>
        <control shapeId="3102" r:id="rId8" name="WeeklyBoss"/>
      </mc:Fallback>
    </mc:AlternateContent>
    <mc:AlternateContent xmlns:mc="http://schemas.openxmlformats.org/markup-compatibility/2006">
      <mc:Choice Requires="x14">
        <control shapeId="3091" r:id="rId10" name="AscensionFlower">
          <controlPr defaultSize="0" autoFill="0" autoLine="0" r:id="rId11">
            <anchor moveWithCells="1">
              <from>
                <xdr:col>0</xdr:col>
                <xdr:colOff>666750</xdr:colOff>
                <xdr:row>24</xdr:row>
                <xdr:rowOff>66675</xdr:rowOff>
              </from>
              <to>
                <xdr:col>1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91" r:id="rId10" name="AscensionFlower"/>
      </mc:Fallback>
    </mc:AlternateContent>
    <mc:AlternateContent xmlns:mc="http://schemas.openxmlformats.org/markup-compatibility/2006">
      <mc:Choice Requires="x14">
        <control shapeId="3090" r:id="rId12" name="AscensionMob">
          <controlPr defaultSize="0" autoFill="0" autoLine="0" r:id="rId13">
            <anchor moveWithCells="1">
              <from>
                <xdr:col>3</xdr:col>
                <xdr:colOff>666750</xdr:colOff>
                <xdr:row>24</xdr:row>
                <xdr:rowOff>66675</xdr:rowOff>
              </from>
              <to>
                <xdr:col>4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90" r:id="rId12" name="AscensionMob"/>
      </mc:Fallback>
    </mc:AlternateContent>
    <mc:AlternateContent xmlns:mc="http://schemas.openxmlformats.org/markup-compatibility/2006">
      <mc:Choice Requires="x14">
        <control shapeId="3080" r:id="rId14" name="SummeryTable">
          <controlPr defaultSize="0" autoFill="0" autoLine="0" r:id="rId15">
            <anchor moveWithCells="1">
              <from>
                <xdr:col>6</xdr:col>
                <xdr:colOff>666750</xdr:colOff>
                <xdr:row>24</xdr:row>
                <xdr:rowOff>66675</xdr:rowOff>
              </from>
              <to>
                <xdr:col>7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80" r:id="rId14" name="Summery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113BE93-6908-4BE6-A744-76162D94AEFC}">
          <x14:formula1>
            <xm:f>ImgDatabase!$AW$3:$AW$9</xm:f>
          </x14:formula1>
          <xm:sqref>H16</xm:sqref>
        </x14:dataValidation>
        <x14:dataValidation type="list" allowBlank="1" showInputMessage="1" showErrorMessage="1" xr:uid="{65243138-E743-4B96-845A-A93C44F96748}">
          <x14:formula1>
            <xm:f>'Talent Books'!$C4:$C18</xm:f>
          </x14:formula1>
          <xm:sqref>H19</xm:sqref>
        </x14:dataValidation>
        <x14:dataValidation type="list" allowBlank="1" showInputMessage="1" showErrorMessage="1" xr:uid="{5AD1D6E0-97F2-4FF3-B71C-5FA3C7F990A1}">
          <x14:formula1>
            <xm:f>'Weekly Boss'!$D3:$D32</xm:f>
          </x14:formula1>
          <xm:sqref>H21</xm:sqref>
        </x14:dataValidation>
        <x14:dataValidation type="list" allowBlank="1" showInputMessage="1" showErrorMessage="1" xr:uid="{5A75AB17-40C9-406D-AC03-954B470DCF08}">
          <x14:formula1>
            <xm:f>'Local Specialties'!$D3:$D4645</xm:f>
          </x14:formula1>
          <xm:sqref>H22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76715-A40E-4697-B223-D57951D93175}">
  <sheetPr codeName="Sheet8"/>
  <dimension ref="A1:W91"/>
  <sheetViews>
    <sheetView workbookViewId="0">
      <selection activeCell="K11" sqref="K11"/>
    </sheetView>
  </sheetViews>
  <sheetFormatPr defaultRowHeight="15" x14ac:dyDescent="0.25"/>
  <cols>
    <col min="2" max="2" width="9.140625" customWidth="1"/>
    <col min="3" max="14" width="12.5703125" customWidth="1"/>
    <col min="15" max="15" width="13.85546875" customWidth="1"/>
    <col min="17" max="19" width="10.85546875" customWidth="1"/>
  </cols>
  <sheetData>
    <row r="1" spans="1:23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N1" t="s">
        <v>61</v>
      </c>
      <c r="O1" t="s">
        <v>50</v>
      </c>
      <c r="P1" t="s">
        <v>62</v>
      </c>
      <c r="Q1" t="s">
        <v>63</v>
      </c>
      <c r="R1" t="s">
        <v>64</v>
      </c>
      <c r="S1" t="s">
        <v>57</v>
      </c>
      <c r="T1" t="s">
        <v>58</v>
      </c>
      <c r="U1" t="s">
        <v>59</v>
      </c>
      <c r="V1" t="s">
        <v>39</v>
      </c>
      <c r="W1" t="s">
        <v>65</v>
      </c>
    </row>
    <row r="2" spans="1:23" x14ac:dyDescent="0.25">
      <c r="A2">
        <v>1</v>
      </c>
      <c r="B2">
        <v>2092530</v>
      </c>
      <c r="C2">
        <v>419</v>
      </c>
      <c r="D2">
        <v>168</v>
      </c>
      <c r="E2">
        <v>1</v>
      </c>
      <c r="F2">
        <v>9</v>
      </c>
      <c r="G2">
        <v>9</v>
      </c>
      <c r="H2">
        <v>6</v>
      </c>
      <c r="I2">
        <v>18</v>
      </c>
      <c r="J2">
        <v>30</v>
      </c>
      <c r="K2">
        <v>36</v>
      </c>
      <c r="L2">
        <v>46</v>
      </c>
      <c r="N2">
        <v>1</v>
      </c>
      <c r="O2">
        <v>1652500</v>
      </c>
      <c r="P2">
        <v>3</v>
      </c>
      <c r="Q2">
        <v>21</v>
      </c>
      <c r="R2">
        <v>38</v>
      </c>
      <c r="S2">
        <v>6</v>
      </c>
      <c r="T2">
        <v>22</v>
      </c>
      <c r="U2">
        <v>31</v>
      </c>
      <c r="V2">
        <v>6</v>
      </c>
      <c r="W2">
        <v>1</v>
      </c>
    </row>
    <row r="3" spans="1:23" x14ac:dyDescent="0.25">
      <c r="A3">
        <v>2</v>
      </c>
      <c r="B3">
        <v>2092330</v>
      </c>
      <c r="C3">
        <v>419</v>
      </c>
      <c r="D3">
        <v>168</v>
      </c>
      <c r="E3">
        <v>1</v>
      </c>
      <c r="F3">
        <v>9</v>
      </c>
      <c r="G3">
        <v>9</v>
      </c>
      <c r="H3">
        <v>6</v>
      </c>
      <c r="I3">
        <v>18</v>
      </c>
      <c r="J3">
        <v>30</v>
      </c>
      <c r="K3">
        <v>36</v>
      </c>
      <c r="L3">
        <v>46</v>
      </c>
      <c r="N3">
        <v>2</v>
      </c>
      <c r="O3">
        <v>1640000</v>
      </c>
      <c r="P3">
        <v>0</v>
      </c>
      <c r="Q3">
        <v>21</v>
      </c>
      <c r="R3">
        <v>38</v>
      </c>
      <c r="S3">
        <v>0</v>
      </c>
      <c r="T3">
        <v>22</v>
      </c>
      <c r="U3">
        <v>31</v>
      </c>
      <c r="V3">
        <v>6</v>
      </c>
      <c r="W3">
        <v>1</v>
      </c>
    </row>
    <row r="4" spans="1:23" x14ac:dyDescent="0.25">
      <c r="A4">
        <v>3</v>
      </c>
      <c r="B4">
        <v>2092065</v>
      </c>
      <c r="C4">
        <v>419</v>
      </c>
      <c r="D4">
        <v>168</v>
      </c>
      <c r="E4">
        <v>1</v>
      </c>
      <c r="F4">
        <v>9</v>
      </c>
      <c r="G4">
        <v>9</v>
      </c>
      <c r="H4">
        <v>6</v>
      </c>
      <c r="I4">
        <v>18</v>
      </c>
      <c r="J4">
        <v>30</v>
      </c>
      <c r="K4">
        <v>36</v>
      </c>
      <c r="L4">
        <v>46</v>
      </c>
      <c r="N4">
        <v>3</v>
      </c>
      <c r="O4">
        <v>1622500</v>
      </c>
      <c r="P4">
        <v>0</v>
      </c>
      <c r="Q4">
        <v>19</v>
      </c>
      <c r="R4">
        <v>38</v>
      </c>
      <c r="S4">
        <v>0</v>
      </c>
      <c r="T4">
        <v>19</v>
      </c>
      <c r="U4">
        <v>31</v>
      </c>
      <c r="V4">
        <v>6</v>
      </c>
      <c r="W4">
        <v>1</v>
      </c>
    </row>
    <row r="5" spans="1:23" x14ac:dyDescent="0.25">
      <c r="A5">
        <v>4</v>
      </c>
      <c r="B5">
        <v>2091725</v>
      </c>
      <c r="C5">
        <v>418</v>
      </c>
      <c r="D5">
        <v>168</v>
      </c>
      <c r="E5">
        <v>1</v>
      </c>
      <c r="F5">
        <v>9</v>
      </c>
      <c r="G5">
        <v>9</v>
      </c>
      <c r="H5">
        <v>6</v>
      </c>
      <c r="I5">
        <v>18</v>
      </c>
      <c r="J5">
        <v>30</v>
      </c>
      <c r="K5">
        <v>36</v>
      </c>
      <c r="L5">
        <v>46</v>
      </c>
      <c r="N5">
        <v>4</v>
      </c>
      <c r="O5">
        <v>1597500</v>
      </c>
      <c r="P5">
        <v>0</v>
      </c>
      <c r="Q5">
        <v>15</v>
      </c>
      <c r="R5">
        <v>38</v>
      </c>
      <c r="S5">
        <v>0</v>
      </c>
      <c r="T5">
        <v>15</v>
      </c>
      <c r="U5">
        <v>31</v>
      </c>
      <c r="V5">
        <v>6</v>
      </c>
      <c r="W5">
        <v>1</v>
      </c>
    </row>
    <row r="6" spans="1:23" x14ac:dyDescent="0.25">
      <c r="A6">
        <v>5</v>
      </c>
      <c r="B6">
        <v>2091295</v>
      </c>
      <c r="C6">
        <v>418</v>
      </c>
      <c r="D6">
        <v>168</v>
      </c>
      <c r="E6">
        <v>1</v>
      </c>
      <c r="F6">
        <v>9</v>
      </c>
      <c r="G6">
        <v>9</v>
      </c>
      <c r="H6">
        <v>6</v>
      </c>
      <c r="I6">
        <v>18</v>
      </c>
      <c r="J6">
        <v>30</v>
      </c>
      <c r="K6">
        <v>36</v>
      </c>
      <c r="L6">
        <v>46</v>
      </c>
      <c r="N6">
        <v>5</v>
      </c>
      <c r="O6">
        <v>1567500</v>
      </c>
      <c r="P6">
        <v>0</v>
      </c>
      <c r="Q6">
        <v>9</v>
      </c>
      <c r="R6">
        <v>38</v>
      </c>
      <c r="S6">
        <v>0</v>
      </c>
      <c r="T6">
        <v>9</v>
      </c>
      <c r="U6">
        <v>31</v>
      </c>
      <c r="V6">
        <v>6</v>
      </c>
      <c r="W6">
        <v>1</v>
      </c>
    </row>
    <row r="7" spans="1:23" x14ac:dyDescent="0.25">
      <c r="A7">
        <v>6</v>
      </c>
      <c r="B7">
        <v>2090770</v>
      </c>
      <c r="C7">
        <v>418</v>
      </c>
      <c r="D7">
        <v>168</v>
      </c>
      <c r="E7">
        <v>1</v>
      </c>
      <c r="F7">
        <v>9</v>
      </c>
      <c r="G7">
        <v>9</v>
      </c>
      <c r="H7">
        <v>6</v>
      </c>
      <c r="I7">
        <v>18</v>
      </c>
      <c r="J7">
        <v>30</v>
      </c>
      <c r="K7">
        <v>36</v>
      </c>
      <c r="L7">
        <v>46</v>
      </c>
      <c r="N7">
        <v>6</v>
      </c>
      <c r="O7">
        <v>1530000</v>
      </c>
      <c r="P7">
        <v>0</v>
      </c>
      <c r="Q7">
        <v>0</v>
      </c>
      <c r="R7">
        <v>38</v>
      </c>
      <c r="S7">
        <v>0</v>
      </c>
      <c r="T7">
        <v>0</v>
      </c>
      <c r="U7">
        <v>31</v>
      </c>
      <c r="V7">
        <v>6</v>
      </c>
      <c r="W7">
        <v>1</v>
      </c>
    </row>
    <row r="8" spans="1:23" x14ac:dyDescent="0.25">
      <c r="A8">
        <v>7</v>
      </c>
      <c r="B8">
        <v>2090140</v>
      </c>
      <c r="C8">
        <v>418</v>
      </c>
      <c r="D8">
        <v>168</v>
      </c>
      <c r="E8">
        <v>1</v>
      </c>
      <c r="F8">
        <v>9</v>
      </c>
      <c r="G8">
        <v>9</v>
      </c>
      <c r="H8">
        <v>6</v>
      </c>
      <c r="I8">
        <v>18</v>
      </c>
      <c r="J8">
        <v>30</v>
      </c>
      <c r="K8">
        <v>36</v>
      </c>
      <c r="L8">
        <v>46</v>
      </c>
      <c r="N8">
        <v>7</v>
      </c>
      <c r="O8">
        <v>1410000</v>
      </c>
      <c r="P8">
        <v>0</v>
      </c>
      <c r="Q8">
        <v>0</v>
      </c>
      <c r="R8">
        <v>34</v>
      </c>
      <c r="S8">
        <v>0</v>
      </c>
      <c r="T8">
        <v>0</v>
      </c>
      <c r="U8">
        <v>27</v>
      </c>
      <c r="V8">
        <v>5</v>
      </c>
      <c r="W8">
        <v>1</v>
      </c>
    </row>
    <row r="9" spans="1:23" x14ac:dyDescent="0.25">
      <c r="A9">
        <v>8</v>
      </c>
      <c r="B9">
        <v>2089395</v>
      </c>
      <c r="C9">
        <v>418</v>
      </c>
      <c r="D9">
        <v>168</v>
      </c>
      <c r="E9">
        <v>1</v>
      </c>
      <c r="F9">
        <v>9</v>
      </c>
      <c r="G9">
        <v>9</v>
      </c>
      <c r="H9">
        <v>6</v>
      </c>
      <c r="I9">
        <v>18</v>
      </c>
      <c r="J9">
        <v>30</v>
      </c>
      <c r="K9">
        <v>36</v>
      </c>
      <c r="L9">
        <v>46</v>
      </c>
      <c r="N9">
        <v>8</v>
      </c>
      <c r="O9">
        <v>1150000</v>
      </c>
      <c r="P9">
        <v>0</v>
      </c>
      <c r="Q9">
        <v>0</v>
      </c>
      <c r="R9">
        <v>28</v>
      </c>
      <c r="S9">
        <v>0</v>
      </c>
      <c r="T9">
        <v>0</v>
      </c>
      <c r="U9">
        <v>21</v>
      </c>
      <c r="V9">
        <v>4</v>
      </c>
      <c r="W9">
        <v>1</v>
      </c>
    </row>
    <row r="10" spans="1:23" x14ac:dyDescent="0.25">
      <c r="A10">
        <v>9</v>
      </c>
      <c r="B10">
        <v>2088525</v>
      </c>
      <c r="C10">
        <v>418</v>
      </c>
      <c r="D10">
        <v>168</v>
      </c>
      <c r="E10">
        <v>1</v>
      </c>
      <c r="F10">
        <v>9</v>
      </c>
      <c r="G10">
        <v>9</v>
      </c>
      <c r="H10">
        <v>6</v>
      </c>
      <c r="I10">
        <v>18</v>
      </c>
      <c r="J10">
        <v>30</v>
      </c>
      <c r="K10">
        <v>36</v>
      </c>
      <c r="L10">
        <v>46</v>
      </c>
      <c r="N10">
        <v>9</v>
      </c>
      <c r="O10">
        <v>700000</v>
      </c>
      <c r="P10">
        <v>0</v>
      </c>
      <c r="Q10">
        <v>0</v>
      </c>
      <c r="R10">
        <v>16</v>
      </c>
      <c r="S10">
        <v>0</v>
      </c>
      <c r="T10">
        <v>0</v>
      </c>
      <c r="U10">
        <v>12</v>
      </c>
      <c r="V10">
        <v>2</v>
      </c>
      <c r="W10">
        <v>1</v>
      </c>
    </row>
    <row r="11" spans="1:23" x14ac:dyDescent="0.25">
      <c r="A11">
        <v>10</v>
      </c>
      <c r="B11">
        <v>2087525</v>
      </c>
      <c r="C11">
        <v>417</v>
      </c>
      <c r="D11">
        <v>168</v>
      </c>
      <c r="E11">
        <v>1</v>
      </c>
      <c r="F11">
        <v>9</v>
      </c>
      <c r="G11">
        <v>9</v>
      </c>
      <c r="H11">
        <v>6</v>
      </c>
      <c r="I11">
        <v>18</v>
      </c>
      <c r="J11">
        <v>30</v>
      </c>
      <c r="K11">
        <v>36</v>
      </c>
      <c r="L11">
        <v>46</v>
      </c>
      <c r="N11">
        <v>10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>
        <v>11</v>
      </c>
      <c r="B12">
        <v>2086385</v>
      </c>
      <c r="C12">
        <v>417</v>
      </c>
      <c r="D12">
        <v>168</v>
      </c>
      <c r="E12">
        <v>1</v>
      </c>
      <c r="F12">
        <v>9</v>
      </c>
      <c r="G12">
        <v>9</v>
      </c>
      <c r="H12">
        <v>6</v>
      </c>
      <c r="I12">
        <v>18</v>
      </c>
      <c r="J12">
        <v>30</v>
      </c>
      <c r="K12">
        <v>36</v>
      </c>
      <c r="L12">
        <v>46</v>
      </c>
    </row>
    <row r="13" spans="1:23" x14ac:dyDescent="0.25">
      <c r="A13">
        <v>12</v>
      </c>
      <c r="B13">
        <v>2085095</v>
      </c>
      <c r="C13">
        <v>417</v>
      </c>
      <c r="D13">
        <v>168</v>
      </c>
      <c r="E13">
        <v>1</v>
      </c>
      <c r="F13">
        <v>9</v>
      </c>
      <c r="G13">
        <v>9</v>
      </c>
      <c r="H13">
        <v>6</v>
      </c>
      <c r="I13">
        <v>18</v>
      </c>
      <c r="J13">
        <v>30</v>
      </c>
      <c r="K13">
        <v>36</v>
      </c>
      <c r="L13">
        <v>46</v>
      </c>
    </row>
    <row r="14" spans="1:23" x14ac:dyDescent="0.25">
      <c r="A14">
        <v>13</v>
      </c>
      <c r="B14">
        <v>2083650</v>
      </c>
      <c r="C14">
        <v>416</v>
      </c>
      <c r="D14">
        <v>168</v>
      </c>
      <c r="E14">
        <v>1</v>
      </c>
      <c r="F14">
        <v>9</v>
      </c>
      <c r="G14">
        <v>9</v>
      </c>
      <c r="H14">
        <v>6</v>
      </c>
      <c r="I14">
        <v>18</v>
      </c>
      <c r="J14">
        <v>30</v>
      </c>
      <c r="K14">
        <v>36</v>
      </c>
      <c r="L14">
        <v>46</v>
      </c>
    </row>
    <row r="15" spans="1:23" x14ac:dyDescent="0.25">
      <c r="A15">
        <v>14</v>
      </c>
      <c r="B15">
        <v>2082040</v>
      </c>
      <c r="C15">
        <v>416</v>
      </c>
      <c r="D15">
        <v>168</v>
      </c>
      <c r="E15">
        <v>1</v>
      </c>
      <c r="F15">
        <v>9</v>
      </c>
      <c r="G15">
        <v>9</v>
      </c>
      <c r="H15">
        <v>6</v>
      </c>
      <c r="I15">
        <v>18</v>
      </c>
      <c r="J15">
        <v>30</v>
      </c>
      <c r="K15">
        <v>36</v>
      </c>
      <c r="L15">
        <v>46</v>
      </c>
    </row>
    <row r="16" spans="1:23" x14ac:dyDescent="0.25">
      <c r="A16">
        <v>15</v>
      </c>
      <c r="B16">
        <v>2080255</v>
      </c>
      <c r="C16">
        <v>416</v>
      </c>
      <c r="D16">
        <v>168</v>
      </c>
      <c r="E16">
        <v>1</v>
      </c>
      <c r="F16">
        <v>9</v>
      </c>
      <c r="G16">
        <v>9</v>
      </c>
      <c r="H16">
        <v>6</v>
      </c>
      <c r="I16">
        <v>18</v>
      </c>
      <c r="J16">
        <v>30</v>
      </c>
      <c r="K16">
        <v>36</v>
      </c>
      <c r="L16">
        <v>46</v>
      </c>
    </row>
    <row r="17" spans="1:12" x14ac:dyDescent="0.25">
      <c r="A17">
        <v>16</v>
      </c>
      <c r="B17">
        <v>2078290</v>
      </c>
      <c r="C17">
        <v>415</v>
      </c>
      <c r="D17">
        <v>168</v>
      </c>
      <c r="E17">
        <v>1</v>
      </c>
      <c r="F17">
        <v>9</v>
      </c>
      <c r="G17">
        <v>9</v>
      </c>
      <c r="H17">
        <v>6</v>
      </c>
      <c r="I17">
        <v>18</v>
      </c>
      <c r="J17">
        <v>30</v>
      </c>
      <c r="K17">
        <v>36</v>
      </c>
      <c r="L17">
        <v>46</v>
      </c>
    </row>
    <row r="18" spans="1:12" x14ac:dyDescent="0.25">
      <c r="A18">
        <v>17</v>
      </c>
      <c r="B18">
        <v>2076140</v>
      </c>
      <c r="C18">
        <v>415</v>
      </c>
      <c r="D18">
        <v>168</v>
      </c>
      <c r="E18">
        <v>1</v>
      </c>
      <c r="F18">
        <v>9</v>
      </c>
      <c r="G18">
        <v>9</v>
      </c>
      <c r="H18">
        <v>6</v>
      </c>
      <c r="I18">
        <v>18</v>
      </c>
      <c r="J18">
        <v>30</v>
      </c>
      <c r="K18">
        <v>36</v>
      </c>
      <c r="L18">
        <v>46</v>
      </c>
    </row>
    <row r="19" spans="1:12" x14ac:dyDescent="0.25">
      <c r="A19">
        <v>18</v>
      </c>
      <c r="B19">
        <v>2073795</v>
      </c>
      <c r="C19">
        <v>414</v>
      </c>
      <c r="D19">
        <v>168</v>
      </c>
      <c r="E19">
        <v>1</v>
      </c>
      <c r="F19">
        <v>9</v>
      </c>
      <c r="G19">
        <v>9</v>
      </c>
      <c r="H19">
        <v>6</v>
      </c>
      <c r="I19">
        <v>18</v>
      </c>
      <c r="J19">
        <v>30</v>
      </c>
      <c r="K19">
        <v>36</v>
      </c>
      <c r="L19">
        <v>46</v>
      </c>
    </row>
    <row r="20" spans="1:12" x14ac:dyDescent="0.25">
      <c r="A20">
        <v>19</v>
      </c>
      <c r="B20" s="14">
        <v>2071250</v>
      </c>
      <c r="C20">
        <v>413</v>
      </c>
      <c r="D20">
        <v>168</v>
      </c>
      <c r="E20">
        <v>1</v>
      </c>
      <c r="F20">
        <v>9</v>
      </c>
      <c r="G20">
        <v>9</v>
      </c>
      <c r="H20">
        <v>6</v>
      </c>
      <c r="I20">
        <v>18</v>
      </c>
      <c r="J20">
        <v>30</v>
      </c>
      <c r="K20">
        <v>36</v>
      </c>
      <c r="L20">
        <v>46</v>
      </c>
    </row>
    <row r="21" spans="1:12" x14ac:dyDescent="0.25">
      <c r="A21">
        <v>20</v>
      </c>
      <c r="B21" s="14">
        <v>2068495</v>
      </c>
      <c r="C21">
        <v>413</v>
      </c>
      <c r="D21">
        <v>168</v>
      </c>
      <c r="E21">
        <v>1</v>
      </c>
      <c r="F21">
        <v>9</v>
      </c>
      <c r="G21">
        <v>9</v>
      </c>
      <c r="H21">
        <v>6</v>
      </c>
      <c r="I21">
        <v>18</v>
      </c>
      <c r="J21">
        <v>30</v>
      </c>
      <c r="K21">
        <v>36</v>
      </c>
      <c r="L21">
        <v>46</v>
      </c>
    </row>
    <row r="22" spans="1:12" x14ac:dyDescent="0.25">
      <c r="A22">
        <v>21</v>
      </c>
      <c r="B22" s="14">
        <v>2045520</v>
      </c>
      <c r="C22">
        <v>412</v>
      </c>
      <c r="D22">
        <v>165</v>
      </c>
      <c r="E22">
        <v>0</v>
      </c>
      <c r="F22">
        <v>9</v>
      </c>
      <c r="G22">
        <v>9</v>
      </c>
      <c r="H22">
        <v>6</v>
      </c>
      <c r="I22">
        <v>15</v>
      </c>
      <c r="J22">
        <v>30</v>
      </c>
      <c r="K22">
        <v>36</v>
      </c>
      <c r="L22">
        <v>46</v>
      </c>
    </row>
    <row r="23" spans="1:12" x14ac:dyDescent="0.25">
      <c r="A23">
        <v>22</v>
      </c>
      <c r="B23" s="14">
        <v>2042160</v>
      </c>
      <c r="C23">
        <v>411</v>
      </c>
      <c r="D23">
        <v>165</v>
      </c>
      <c r="E23">
        <v>0</v>
      </c>
      <c r="F23">
        <v>9</v>
      </c>
      <c r="G23">
        <v>9</v>
      </c>
      <c r="H23">
        <v>6</v>
      </c>
      <c r="I23">
        <v>15</v>
      </c>
      <c r="J23">
        <v>30</v>
      </c>
      <c r="K23">
        <v>36</v>
      </c>
      <c r="L23">
        <v>46</v>
      </c>
    </row>
    <row r="24" spans="1:12" x14ac:dyDescent="0.25">
      <c r="A24">
        <v>23</v>
      </c>
      <c r="B24" s="14">
        <v>2038560</v>
      </c>
      <c r="C24">
        <v>410</v>
      </c>
      <c r="D24">
        <v>165</v>
      </c>
      <c r="E24">
        <v>0</v>
      </c>
      <c r="F24">
        <v>9</v>
      </c>
      <c r="G24">
        <v>9</v>
      </c>
      <c r="H24">
        <v>6</v>
      </c>
      <c r="I24">
        <v>15</v>
      </c>
      <c r="J24">
        <v>30</v>
      </c>
      <c r="K24">
        <v>36</v>
      </c>
      <c r="L24">
        <v>46</v>
      </c>
    </row>
    <row r="25" spans="1:12" x14ac:dyDescent="0.25">
      <c r="A25">
        <v>24</v>
      </c>
      <c r="B25" s="14">
        <v>2034710</v>
      </c>
      <c r="C25">
        <v>409</v>
      </c>
      <c r="D25">
        <v>165</v>
      </c>
      <c r="E25">
        <v>0</v>
      </c>
      <c r="F25">
        <v>9</v>
      </c>
      <c r="G25">
        <v>9</v>
      </c>
      <c r="H25">
        <v>6</v>
      </c>
      <c r="I25">
        <v>15</v>
      </c>
      <c r="J25">
        <v>30</v>
      </c>
      <c r="K25">
        <v>36</v>
      </c>
      <c r="L25">
        <v>46</v>
      </c>
    </row>
    <row r="26" spans="1:12" x14ac:dyDescent="0.25">
      <c r="A26">
        <v>25</v>
      </c>
      <c r="B26" s="14">
        <v>2030600</v>
      </c>
      <c r="C26">
        <v>408</v>
      </c>
      <c r="D26">
        <v>165</v>
      </c>
      <c r="E26">
        <v>0</v>
      </c>
      <c r="F26">
        <v>9</v>
      </c>
      <c r="G26">
        <v>9</v>
      </c>
      <c r="H26">
        <v>6</v>
      </c>
      <c r="I26">
        <v>15</v>
      </c>
      <c r="J26">
        <v>30</v>
      </c>
      <c r="K26">
        <v>36</v>
      </c>
      <c r="L26">
        <v>46</v>
      </c>
    </row>
    <row r="27" spans="1:12" x14ac:dyDescent="0.25">
      <c r="A27">
        <v>26</v>
      </c>
      <c r="B27" s="14">
        <v>2026225</v>
      </c>
      <c r="C27">
        <v>407</v>
      </c>
      <c r="D27">
        <v>165</v>
      </c>
      <c r="E27">
        <v>0</v>
      </c>
      <c r="F27">
        <v>9</v>
      </c>
      <c r="G27">
        <v>9</v>
      </c>
      <c r="H27">
        <v>6</v>
      </c>
      <c r="I27">
        <v>15</v>
      </c>
      <c r="J27">
        <v>30</v>
      </c>
      <c r="K27">
        <v>36</v>
      </c>
      <c r="L27">
        <v>46</v>
      </c>
    </row>
    <row r="28" spans="1:12" x14ac:dyDescent="0.25">
      <c r="A28">
        <v>27</v>
      </c>
      <c r="B28" s="14">
        <v>2021575</v>
      </c>
      <c r="C28">
        <v>406</v>
      </c>
      <c r="D28">
        <v>165</v>
      </c>
      <c r="E28">
        <v>0</v>
      </c>
      <c r="F28">
        <v>9</v>
      </c>
      <c r="G28">
        <v>9</v>
      </c>
      <c r="H28">
        <v>6</v>
      </c>
      <c r="I28">
        <v>15</v>
      </c>
      <c r="J28">
        <v>30</v>
      </c>
      <c r="K28">
        <v>36</v>
      </c>
      <c r="L28">
        <v>46</v>
      </c>
    </row>
    <row r="29" spans="1:12" x14ac:dyDescent="0.25">
      <c r="A29">
        <v>28</v>
      </c>
      <c r="B29" s="14">
        <v>2016645</v>
      </c>
      <c r="C29">
        <v>405</v>
      </c>
      <c r="D29">
        <v>165</v>
      </c>
      <c r="E29">
        <v>0</v>
      </c>
      <c r="F29">
        <v>9</v>
      </c>
      <c r="G29">
        <v>9</v>
      </c>
      <c r="H29">
        <v>6</v>
      </c>
      <c r="I29">
        <v>15</v>
      </c>
      <c r="J29">
        <v>30</v>
      </c>
      <c r="K29">
        <v>36</v>
      </c>
      <c r="L29">
        <v>46</v>
      </c>
    </row>
    <row r="30" spans="1:12" x14ac:dyDescent="0.25">
      <c r="A30">
        <v>29</v>
      </c>
      <c r="B30" s="14">
        <v>2011425</v>
      </c>
      <c r="C30">
        <v>403</v>
      </c>
      <c r="D30">
        <v>165</v>
      </c>
      <c r="E30">
        <v>0</v>
      </c>
      <c r="F30">
        <v>9</v>
      </c>
      <c r="G30">
        <v>9</v>
      </c>
      <c r="H30">
        <v>6</v>
      </c>
      <c r="I30">
        <v>15</v>
      </c>
      <c r="J30">
        <v>30</v>
      </c>
      <c r="K30">
        <v>36</v>
      </c>
      <c r="L30">
        <v>46</v>
      </c>
    </row>
    <row r="31" spans="1:12" x14ac:dyDescent="0.25">
      <c r="A31">
        <v>30</v>
      </c>
      <c r="B31" s="14">
        <v>2005910</v>
      </c>
      <c r="C31">
        <v>402</v>
      </c>
      <c r="D31">
        <v>165</v>
      </c>
      <c r="E31">
        <v>0</v>
      </c>
      <c r="F31">
        <v>9</v>
      </c>
      <c r="G31">
        <v>9</v>
      </c>
      <c r="H31">
        <v>6</v>
      </c>
      <c r="I31">
        <v>15</v>
      </c>
      <c r="J31">
        <v>30</v>
      </c>
      <c r="K31">
        <v>36</v>
      </c>
      <c r="L31">
        <v>46</v>
      </c>
    </row>
    <row r="32" spans="1:12" x14ac:dyDescent="0.25">
      <c r="A32">
        <v>31</v>
      </c>
      <c r="B32">
        <v>2000090</v>
      </c>
      <c r="C32">
        <v>401</v>
      </c>
      <c r="D32">
        <v>165</v>
      </c>
      <c r="E32">
        <v>0</v>
      </c>
      <c r="F32">
        <v>9</v>
      </c>
      <c r="G32">
        <v>9</v>
      </c>
      <c r="H32">
        <v>6</v>
      </c>
      <c r="I32">
        <v>15</v>
      </c>
      <c r="J32">
        <v>30</v>
      </c>
      <c r="K32">
        <v>36</v>
      </c>
      <c r="L32">
        <v>46</v>
      </c>
    </row>
    <row r="33" spans="1:12" x14ac:dyDescent="0.25">
      <c r="A33">
        <v>32</v>
      </c>
      <c r="B33">
        <v>1993960</v>
      </c>
      <c r="C33">
        <v>399</v>
      </c>
      <c r="D33">
        <v>165</v>
      </c>
      <c r="E33">
        <v>0</v>
      </c>
      <c r="F33">
        <v>9</v>
      </c>
      <c r="G33">
        <v>9</v>
      </c>
      <c r="H33">
        <v>6</v>
      </c>
      <c r="I33">
        <v>15</v>
      </c>
      <c r="J33">
        <v>30</v>
      </c>
      <c r="K33">
        <v>36</v>
      </c>
      <c r="L33">
        <v>46</v>
      </c>
    </row>
    <row r="34" spans="1:12" x14ac:dyDescent="0.25">
      <c r="A34">
        <v>33</v>
      </c>
      <c r="B34">
        <v>1987510</v>
      </c>
      <c r="C34">
        <v>397</v>
      </c>
      <c r="D34">
        <v>165</v>
      </c>
      <c r="E34">
        <v>0</v>
      </c>
      <c r="F34">
        <v>9</v>
      </c>
      <c r="G34">
        <v>9</v>
      </c>
      <c r="H34">
        <v>6</v>
      </c>
      <c r="I34">
        <v>15</v>
      </c>
      <c r="J34">
        <v>30</v>
      </c>
      <c r="K34">
        <v>36</v>
      </c>
      <c r="L34">
        <v>46</v>
      </c>
    </row>
    <row r="35" spans="1:12" x14ac:dyDescent="0.25">
      <c r="A35">
        <v>34</v>
      </c>
      <c r="B35">
        <v>1980735</v>
      </c>
      <c r="C35">
        <v>396</v>
      </c>
      <c r="D35">
        <v>165</v>
      </c>
      <c r="E35">
        <v>0</v>
      </c>
      <c r="F35">
        <v>9</v>
      </c>
      <c r="G35">
        <v>9</v>
      </c>
      <c r="H35">
        <v>6</v>
      </c>
      <c r="I35">
        <v>15</v>
      </c>
      <c r="J35">
        <v>30</v>
      </c>
      <c r="K35">
        <v>36</v>
      </c>
      <c r="L35">
        <v>46</v>
      </c>
    </row>
    <row r="36" spans="1:12" x14ac:dyDescent="0.25">
      <c r="A36">
        <v>35</v>
      </c>
      <c r="B36">
        <v>1973625</v>
      </c>
      <c r="C36">
        <v>394</v>
      </c>
      <c r="D36">
        <v>165</v>
      </c>
      <c r="E36">
        <v>0</v>
      </c>
      <c r="F36">
        <v>9</v>
      </c>
      <c r="G36">
        <v>9</v>
      </c>
      <c r="H36">
        <v>6</v>
      </c>
      <c r="I36">
        <v>15</v>
      </c>
      <c r="J36">
        <v>30</v>
      </c>
      <c r="K36">
        <v>36</v>
      </c>
      <c r="L36">
        <v>46</v>
      </c>
    </row>
    <row r="37" spans="1:12" x14ac:dyDescent="0.25">
      <c r="A37">
        <v>36</v>
      </c>
      <c r="B37">
        <v>1966175</v>
      </c>
      <c r="C37">
        <v>392</v>
      </c>
      <c r="D37">
        <v>165</v>
      </c>
      <c r="E37">
        <v>0</v>
      </c>
      <c r="F37">
        <v>9</v>
      </c>
      <c r="G37">
        <v>9</v>
      </c>
      <c r="H37">
        <v>6</v>
      </c>
      <c r="I37">
        <v>15</v>
      </c>
      <c r="J37">
        <v>30</v>
      </c>
      <c r="K37">
        <v>36</v>
      </c>
      <c r="L37">
        <v>46</v>
      </c>
    </row>
    <row r="38" spans="1:12" x14ac:dyDescent="0.25">
      <c r="A38">
        <v>37</v>
      </c>
      <c r="B38">
        <v>1958380</v>
      </c>
      <c r="C38">
        <v>390</v>
      </c>
      <c r="D38">
        <v>165</v>
      </c>
      <c r="E38">
        <v>0</v>
      </c>
      <c r="F38">
        <v>9</v>
      </c>
      <c r="G38">
        <v>9</v>
      </c>
      <c r="H38">
        <v>6</v>
      </c>
      <c r="I38">
        <v>15</v>
      </c>
      <c r="J38">
        <v>30</v>
      </c>
      <c r="K38">
        <v>36</v>
      </c>
      <c r="L38">
        <v>46</v>
      </c>
    </row>
    <row r="39" spans="1:12" x14ac:dyDescent="0.25">
      <c r="A39">
        <v>38</v>
      </c>
      <c r="B39">
        <v>1950230</v>
      </c>
      <c r="C39">
        <v>388</v>
      </c>
      <c r="D39">
        <v>165</v>
      </c>
      <c r="E39">
        <v>0</v>
      </c>
      <c r="F39">
        <v>9</v>
      </c>
      <c r="G39">
        <v>9</v>
      </c>
      <c r="H39">
        <v>6</v>
      </c>
      <c r="I39">
        <v>15</v>
      </c>
      <c r="J39">
        <v>30</v>
      </c>
      <c r="K39">
        <v>36</v>
      </c>
      <c r="L39">
        <v>46</v>
      </c>
    </row>
    <row r="40" spans="1:12" x14ac:dyDescent="0.25">
      <c r="A40">
        <v>39</v>
      </c>
      <c r="B40">
        <v>1941715</v>
      </c>
      <c r="C40">
        <v>386</v>
      </c>
      <c r="D40">
        <v>165</v>
      </c>
      <c r="E40">
        <v>0</v>
      </c>
      <c r="F40">
        <v>9</v>
      </c>
      <c r="G40">
        <v>9</v>
      </c>
      <c r="H40">
        <v>6</v>
      </c>
      <c r="I40">
        <v>15</v>
      </c>
      <c r="J40">
        <v>30</v>
      </c>
      <c r="K40">
        <v>36</v>
      </c>
      <c r="L40">
        <v>46</v>
      </c>
    </row>
    <row r="41" spans="1:12" x14ac:dyDescent="0.25">
      <c r="A41">
        <v>40</v>
      </c>
      <c r="B41">
        <v>1932830</v>
      </c>
      <c r="C41">
        <v>384</v>
      </c>
      <c r="D41">
        <v>165</v>
      </c>
      <c r="E41">
        <v>0</v>
      </c>
      <c r="F41">
        <v>9</v>
      </c>
      <c r="G41">
        <v>9</v>
      </c>
      <c r="H41">
        <v>6</v>
      </c>
      <c r="I41">
        <v>15</v>
      </c>
      <c r="J41">
        <v>30</v>
      </c>
      <c r="K41">
        <v>36</v>
      </c>
      <c r="L41">
        <v>46</v>
      </c>
    </row>
    <row r="42" spans="1:12" x14ac:dyDescent="0.25">
      <c r="A42">
        <v>41</v>
      </c>
      <c r="B42">
        <v>1883570</v>
      </c>
      <c r="C42">
        <v>381</v>
      </c>
      <c r="D42">
        <v>155</v>
      </c>
      <c r="E42">
        <v>0</v>
      </c>
      <c r="F42">
        <v>6</v>
      </c>
      <c r="G42">
        <v>9</v>
      </c>
      <c r="H42">
        <v>6</v>
      </c>
      <c r="I42">
        <v>0</v>
      </c>
      <c r="J42">
        <v>30</v>
      </c>
      <c r="K42">
        <v>36</v>
      </c>
      <c r="L42">
        <v>44</v>
      </c>
    </row>
    <row r="43" spans="1:12" x14ac:dyDescent="0.25">
      <c r="A43">
        <v>42</v>
      </c>
      <c r="B43">
        <v>1873445</v>
      </c>
      <c r="C43">
        <v>379</v>
      </c>
      <c r="D43">
        <v>155</v>
      </c>
      <c r="E43">
        <v>0</v>
      </c>
      <c r="F43">
        <v>6</v>
      </c>
      <c r="G43">
        <v>9</v>
      </c>
      <c r="H43">
        <v>6</v>
      </c>
      <c r="I43">
        <v>0</v>
      </c>
      <c r="J43">
        <v>30</v>
      </c>
      <c r="K43">
        <v>36</v>
      </c>
      <c r="L43">
        <v>44</v>
      </c>
    </row>
    <row r="44" spans="1:12" x14ac:dyDescent="0.25">
      <c r="A44">
        <v>43</v>
      </c>
      <c r="B44">
        <v>1862905</v>
      </c>
      <c r="C44">
        <v>376</v>
      </c>
      <c r="D44">
        <v>155</v>
      </c>
      <c r="E44">
        <v>0</v>
      </c>
      <c r="F44">
        <v>6</v>
      </c>
      <c r="G44">
        <v>9</v>
      </c>
      <c r="H44">
        <v>6</v>
      </c>
      <c r="I44">
        <v>0</v>
      </c>
      <c r="J44">
        <v>30</v>
      </c>
      <c r="K44">
        <v>36</v>
      </c>
      <c r="L44">
        <v>44</v>
      </c>
    </row>
    <row r="45" spans="1:12" x14ac:dyDescent="0.25">
      <c r="A45">
        <v>44</v>
      </c>
      <c r="B45">
        <v>1851950</v>
      </c>
      <c r="C45">
        <v>373</v>
      </c>
      <c r="D45">
        <v>155</v>
      </c>
      <c r="E45">
        <v>0</v>
      </c>
      <c r="F45">
        <v>6</v>
      </c>
      <c r="G45">
        <v>9</v>
      </c>
      <c r="H45">
        <v>6</v>
      </c>
      <c r="I45">
        <v>0</v>
      </c>
      <c r="J45">
        <v>30</v>
      </c>
      <c r="K45">
        <v>36</v>
      </c>
      <c r="L45">
        <v>44</v>
      </c>
    </row>
    <row r="46" spans="1:12" x14ac:dyDescent="0.25">
      <c r="A46">
        <v>45</v>
      </c>
      <c r="B46">
        <v>1840570</v>
      </c>
      <c r="C46">
        <v>371</v>
      </c>
      <c r="D46">
        <v>155</v>
      </c>
      <c r="E46">
        <v>0</v>
      </c>
      <c r="F46">
        <v>6</v>
      </c>
      <c r="G46">
        <v>9</v>
      </c>
      <c r="H46">
        <v>6</v>
      </c>
      <c r="I46">
        <v>0</v>
      </c>
      <c r="J46">
        <v>30</v>
      </c>
      <c r="K46">
        <v>36</v>
      </c>
      <c r="L46">
        <v>44</v>
      </c>
    </row>
    <row r="47" spans="1:12" x14ac:dyDescent="0.25">
      <c r="A47">
        <v>46</v>
      </c>
      <c r="B47">
        <v>1828755</v>
      </c>
      <c r="C47">
        <v>368</v>
      </c>
      <c r="D47">
        <v>155</v>
      </c>
      <c r="E47">
        <v>0</v>
      </c>
      <c r="F47">
        <v>6</v>
      </c>
      <c r="G47">
        <v>9</v>
      </c>
      <c r="H47">
        <v>6</v>
      </c>
      <c r="I47">
        <v>0</v>
      </c>
      <c r="J47">
        <v>30</v>
      </c>
      <c r="K47">
        <v>36</v>
      </c>
      <c r="L47">
        <v>44</v>
      </c>
    </row>
    <row r="48" spans="1:12" x14ac:dyDescent="0.25">
      <c r="A48">
        <v>47</v>
      </c>
      <c r="B48">
        <v>1816500</v>
      </c>
      <c r="C48">
        <v>365</v>
      </c>
      <c r="D48">
        <v>155</v>
      </c>
      <c r="E48">
        <v>0</v>
      </c>
      <c r="F48">
        <v>6</v>
      </c>
      <c r="G48">
        <v>9</v>
      </c>
      <c r="H48">
        <v>6</v>
      </c>
      <c r="I48">
        <v>0</v>
      </c>
      <c r="J48">
        <v>30</v>
      </c>
      <c r="K48">
        <v>36</v>
      </c>
      <c r="L48">
        <v>44</v>
      </c>
    </row>
    <row r="49" spans="1:12" x14ac:dyDescent="0.25">
      <c r="A49">
        <v>48</v>
      </c>
      <c r="B49">
        <v>1803795</v>
      </c>
      <c r="C49">
        <v>361</v>
      </c>
      <c r="D49">
        <v>155</v>
      </c>
      <c r="E49">
        <v>0</v>
      </c>
      <c r="F49">
        <v>6</v>
      </c>
      <c r="G49">
        <v>9</v>
      </c>
      <c r="H49">
        <v>6</v>
      </c>
      <c r="I49">
        <v>0</v>
      </c>
      <c r="J49">
        <v>30</v>
      </c>
      <c r="K49">
        <v>36</v>
      </c>
      <c r="L49">
        <v>44</v>
      </c>
    </row>
    <row r="50" spans="1:12" x14ac:dyDescent="0.25">
      <c r="A50">
        <v>49</v>
      </c>
      <c r="B50">
        <v>1790635</v>
      </c>
      <c r="C50">
        <v>358</v>
      </c>
      <c r="D50">
        <v>155</v>
      </c>
      <c r="E50">
        <v>0</v>
      </c>
      <c r="F50">
        <v>6</v>
      </c>
      <c r="G50">
        <v>9</v>
      </c>
      <c r="H50">
        <v>6</v>
      </c>
      <c r="I50">
        <v>0</v>
      </c>
      <c r="J50">
        <v>30</v>
      </c>
      <c r="K50">
        <v>36</v>
      </c>
      <c r="L50">
        <v>44</v>
      </c>
    </row>
    <row r="51" spans="1:12" x14ac:dyDescent="0.25">
      <c r="A51">
        <v>50</v>
      </c>
      <c r="B51">
        <v>1777010</v>
      </c>
      <c r="C51">
        <v>355</v>
      </c>
      <c r="D51">
        <v>155</v>
      </c>
      <c r="E51">
        <v>0</v>
      </c>
      <c r="F51">
        <v>6</v>
      </c>
      <c r="G51">
        <v>9</v>
      </c>
      <c r="H51">
        <v>6</v>
      </c>
      <c r="I51">
        <v>0</v>
      </c>
      <c r="J51">
        <v>30</v>
      </c>
      <c r="K51">
        <v>36</v>
      </c>
      <c r="L51">
        <v>44</v>
      </c>
    </row>
    <row r="52" spans="1:12" x14ac:dyDescent="0.25">
      <c r="A52">
        <v>51</v>
      </c>
      <c r="B52">
        <v>1702915</v>
      </c>
      <c r="C52">
        <v>351</v>
      </c>
      <c r="D52">
        <v>135</v>
      </c>
      <c r="E52">
        <v>0</v>
      </c>
      <c r="F52">
        <v>0</v>
      </c>
      <c r="G52">
        <v>9</v>
      </c>
      <c r="H52">
        <v>6</v>
      </c>
      <c r="I52">
        <v>0</v>
      </c>
      <c r="J52">
        <v>18</v>
      </c>
      <c r="K52">
        <v>36</v>
      </c>
      <c r="L52">
        <v>40</v>
      </c>
    </row>
    <row r="53" spans="1:12" x14ac:dyDescent="0.25">
      <c r="A53">
        <v>52</v>
      </c>
      <c r="B53">
        <v>1687615</v>
      </c>
      <c r="C53">
        <v>347</v>
      </c>
      <c r="D53">
        <v>135</v>
      </c>
      <c r="E53">
        <v>0</v>
      </c>
      <c r="F53">
        <v>0</v>
      </c>
      <c r="G53">
        <v>9</v>
      </c>
      <c r="H53">
        <v>6</v>
      </c>
      <c r="I53">
        <v>0</v>
      </c>
      <c r="J53">
        <v>18</v>
      </c>
      <c r="K53">
        <v>36</v>
      </c>
      <c r="L53">
        <v>40</v>
      </c>
    </row>
    <row r="54" spans="1:12" x14ac:dyDescent="0.25">
      <c r="A54">
        <v>53</v>
      </c>
      <c r="B54">
        <v>1671805</v>
      </c>
      <c r="C54">
        <v>343</v>
      </c>
      <c r="D54">
        <v>135</v>
      </c>
      <c r="E54">
        <v>0</v>
      </c>
      <c r="F54">
        <v>0</v>
      </c>
      <c r="G54">
        <v>9</v>
      </c>
      <c r="H54">
        <v>6</v>
      </c>
      <c r="I54">
        <v>0</v>
      </c>
      <c r="J54">
        <v>18</v>
      </c>
      <c r="K54">
        <v>36</v>
      </c>
      <c r="L54">
        <v>40</v>
      </c>
    </row>
    <row r="55" spans="1:12" x14ac:dyDescent="0.25">
      <c r="A55">
        <v>54</v>
      </c>
      <c r="B55">
        <v>1655475</v>
      </c>
      <c r="C55">
        <v>339</v>
      </c>
      <c r="D55">
        <v>135</v>
      </c>
      <c r="E55">
        <v>0</v>
      </c>
      <c r="F55">
        <v>0</v>
      </c>
      <c r="G55">
        <v>9</v>
      </c>
      <c r="H55">
        <v>6</v>
      </c>
      <c r="I55">
        <v>0</v>
      </c>
      <c r="J55">
        <v>18</v>
      </c>
      <c r="K55">
        <v>36</v>
      </c>
      <c r="L55">
        <v>40</v>
      </c>
    </row>
    <row r="56" spans="1:12" x14ac:dyDescent="0.25">
      <c r="A56">
        <v>55</v>
      </c>
      <c r="B56">
        <v>1638620</v>
      </c>
      <c r="C56">
        <v>335</v>
      </c>
      <c r="D56">
        <v>135</v>
      </c>
      <c r="E56">
        <v>0</v>
      </c>
      <c r="F56">
        <v>0</v>
      </c>
      <c r="G56">
        <v>9</v>
      </c>
      <c r="H56">
        <v>6</v>
      </c>
      <c r="I56">
        <v>0</v>
      </c>
      <c r="J56">
        <v>18</v>
      </c>
      <c r="K56">
        <v>36</v>
      </c>
      <c r="L56">
        <v>40</v>
      </c>
    </row>
    <row r="57" spans="1:12" x14ac:dyDescent="0.25">
      <c r="A57">
        <v>56</v>
      </c>
      <c r="B57">
        <v>1621230</v>
      </c>
      <c r="C57">
        <v>331</v>
      </c>
      <c r="D57">
        <v>135</v>
      </c>
      <c r="E57">
        <v>0</v>
      </c>
      <c r="F57">
        <v>0</v>
      </c>
      <c r="G57">
        <v>9</v>
      </c>
      <c r="H57">
        <v>6</v>
      </c>
      <c r="I57">
        <v>0</v>
      </c>
      <c r="J57">
        <v>18</v>
      </c>
      <c r="K57">
        <v>36</v>
      </c>
      <c r="L57">
        <v>40</v>
      </c>
    </row>
    <row r="58" spans="1:12" x14ac:dyDescent="0.25">
      <c r="A58">
        <v>57</v>
      </c>
      <c r="B58">
        <v>1603300</v>
      </c>
      <c r="C58">
        <v>326</v>
      </c>
      <c r="D58">
        <v>135</v>
      </c>
      <c r="E58">
        <v>0</v>
      </c>
      <c r="F58">
        <v>0</v>
      </c>
      <c r="G58">
        <v>9</v>
      </c>
      <c r="H58">
        <v>6</v>
      </c>
      <c r="I58">
        <v>0</v>
      </c>
      <c r="J58">
        <v>18</v>
      </c>
      <c r="K58">
        <v>36</v>
      </c>
      <c r="L58">
        <v>40</v>
      </c>
    </row>
    <row r="59" spans="1:12" x14ac:dyDescent="0.25">
      <c r="A59">
        <v>58</v>
      </c>
      <c r="B59">
        <v>1584820</v>
      </c>
      <c r="C59">
        <v>322</v>
      </c>
      <c r="D59">
        <v>135</v>
      </c>
      <c r="E59">
        <v>0</v>
      </c>
      <c r="F59">
        <v>0</v>
      </c>
      <c r="G59">
        <v>9</v>
      </c>
      <c r="H59">
        <v>6</v>
      </c>
      <c r="I59">
        <v>0</v>
      </c>
      <c r="J59">
        <v>18</v>
      </c>
      <c r="K59">
        <v>36</v>
      </c>
      <c r="L59">
        <v>40</v>
      </c>
    </row>
    <row r="60" spans="1:12" x14ac:dyDescent="0.25">
      <c r="A60">
        <v>59</v>
      </c>
      <c r="B60">
        <v>1565785</v>
      </c>
      <c r="C60">
        <v>317</v>
      </c>
      <c r="D60">
        <v>135</v>
      </c>
      <c r="E60">
        <v>0</v>
      </c>
      <c r="F60">
        <v>0</v>
      </c>
      <c r="G60">
        <v>9</v>
      </c>
      <c r="H60">
        <v>6</v>
      </c>
      <c r="I60">
        <v>0</v>
      </c>
      <c r="J60">
        <v>18</v>
      </c>
      <c r="K60">
        <v>36</v>
      </c>
      <c r="L60">
        <v>40</v>
      </c>
    </row>
    <row r="61" spans="1:12" x14ac:dyDescent="0.25">
      <c r="A61">
        <v>60</v>
      </c>
      <c r="B61">
        <v>1546185</v>
      </c>
      <c r="C61">
        <v>312</v>
      </c>
      <c r="D61">
        <v>135</v>
      </c>
      <c r="E61">
        <v>0</v>
      </c>
      <c r="F61">
        <v>0</v>
      </c>
      <c r="G61">
        <v>9</v>
      </c>
      <c r="H61">
        <v>6</v>
      </c>
      <c r="I61">
        <v>0</v>
      </c>
      <c r="J61">
        <v>18</v>
      </c>
      <c r="K61">
        <v>36</v>
      </c>
      <c r="L61">
        <v>40</v>
      </c>
    </row>
    <row r="62" spans="1:12" x14ac:dyDescent="0.25">
      <c r="A62">
        <v>61</v>
      </c>
      <c r="B62">
        <v>1446010</v>
      </c>
      <c r="C62">
        <v>307</v>
      </c>
      <c r="D62">
        <v>105</v>
      </c>
      <c r="E62">
        <v>0</v>
      </c>
      <c r="F62">
        <v>0</v>
      </c>
      <c r="G62">
        <v>6</v>
      </c>
      <c r="H62">
        <v>6</v>
      </c>
      <c r="I62">
        <v>0</v>
      </c>
      <c r="J62">
        <v>0</v>
      </c>
      <c r="K62">
        <v>36</v>
      </c>
      <c r="L62">
        <v>32</v>
      </c>
    </row>
    <row r="63" spans="1:12" x14ac:dyDescent="0.25">
      <c r="A63">
        <v>62</v>
      </c>
      <c r="B63">
        <v>1424220</v>
      </c>
      <c r="C63">
        <v>302</v>
      </c>
      <c r="D63">
        <v>105</v>
      </c>
      <c r="E63">
        <v>0</v>
      </c>
      <c r="F63">
        <v>0</v>
      </c>
      <c r="G63">
        <v>6</v>
      </c>
      <c r="H63">
        <v>6</v>
      </c>
      <c r="I63">
        <v>0</v>
      </c>
      <c r="J63">
        <v>0</v>
      </c>
      <c r="K63">
        <v>36</v>
      </c>
      <c r="L63">
        <v>32</v>
      </c>
    </row>
    <row r="64" spans="1:12" x14ac:dyDescent="0.25">
      <c r="A64">
        <v>63</v>
      </c>
      <c r="B64">
        <v>1401810</v>
      </c>
      <c r="C64">
        <v>296</v>
      </c>
      <c r="D64">
        <v>105</v>
      </c>
      <c r="E64">
        <v>0</v>
      </c>
      <c r="F64">
        <v>0</v>
      </c>
      <c r="G64">
        <v>6</v>
      </c>
      <c r="H64">
        <v>6</v>
      </c>
      <c r="I64">
        <v>0</v>
      </c>
      <c r="J64">
        <v>0</v>
      </c>
      <c r="K64">
        <v>36</v>
      </c>
      <c r="L64">
        <v>32</v>
      </c>
    </row>
    <row r="65" spans="1:12" x14ac:dyDescent="0.25">
      <c r="A65">
        <v>64</v>
      </c>
      <c r="B65">
        <v>1378775</v>
      </c>
      <c r="C65">
        <v>290</v>
      </c>
      <c r="D65">
        <v>105</v>
      </c>
      <c r="E65">
        <v>0</v>
      </c>
      <c r="F65">
        <v>0</v>
      </c>
      <c r="G65">
        <v>6</v>
      </c>
      <c r="H65">
        <v>6</v>
      </c>
      <c r="I65">
        <v>0</v>
      </c>
      <c r="J65">
        <v>0</v>
      </c>
      <c r="K65">
        <v>36</v>
      </c>
      <c r="L65">
        <v>32</v>
      </c>
    </row>
    <row r="66" spans="1:12" x14ac:dyDescent="0.25">
      <c r="A66">
        <v>65</v>
      </c>
      <c r="B66">
        <v>1355110</v>
      </c>
      <c r="C66">
        <v>284</v>
      </c>
      <c r="D66">
        <v>105</v>
      </c>
      <c r="E66">
        <v>0</v>
      </c>
      <c r="F66">
        <v>0</v>
      </c>
      <c r="G66">
        <v>6</v>
      </c>
      <c r="H66">
        <v>6</v>
      </c>
      <c r="I66">
        <v>0</v>
      </c>
      <c r="J66">
        <v>0</v>
      </c>
      <c r="K66">
        <v>36</v>
      </c>
      <c r="L66">
        <v>32</v>
      </c>
    </row>
    <row r="67" spans="1:12" x14ac:dyDescent="0.25">
      <c r="A67">
        <v>66</v>
      </c>
      <c r="B67">
        <v>1330805</v>
      </c>
      <c r="C67">
        <v>278</v>
      </c>
      <c r="D67">
        <v>105</v>
      </c>
      <c r="E67">
        <v>0</v>
      </c>
      <c r="F67">
        <v>0</v>
      </c>
      <c r="G67">
        <v>6</v>
      </c>
      <c r="H67">
        <v>6</v>
      </c>
      <c r="I67">
        <v>0</v>
      </c>
      <c r="J67">
        <v>0</v>
      </c>
      <c r="K67">
        <v>36</v>
      </c>
      <c r="L67">
        <v>32</v>
      </c>
    </row>
    <row r="68" spans="1:12" x14ac:dyDescent="0.25">
      <c r="A68">
        <v>67</v>
      </c>
      <c r="B68">
        <v>1305850</v>
      </c>
      <c r="C68">
        <v>272</v>
      </c>
      <c r="D68">
        <v>105</v>
      </c>
      <c r="E68">
        <v>0</v>
      </c>
      <c r="F68">
        <v>0</v>
      </c>
      <c r="G68">
        <v>6</v>
      </c>
      <c r="H68">
        <v>6</v>
      </c>
      <c r="I68">
        <v>0</v>
      </c>
      <c r="J68">
        <v>0</v>
      </c>
      <c r="K68">
        <v>36</v>
      </c>
      <c r="L68">
        <v>32</v>
      </c>
    </row>
    <row r="69" spans="1:12" x14ac:dyDescent="0.25">
      <c r="A69">
        <v>68</v>
      </c>
      <c r="B69">
        <v>1280235</v>
      </c>
      <c r="C69">
        <v>266</v>
      </c>
      <c r="D69">
        <v>105</v>
      </c>
      <c r="E69">
        <v>0</v>
      </c>
      <c r="F69">
        <v>0</v>
      </c>
      <c r="G69">
        <v>6</v>
      </c>
      <c r="H69">
        <v>6</v>
      </c>
      <c r="I69">
        <v>0</v>
      </c>
      <c r="J69">
        <v>0</v>
      </c>
      <c r="K69">
        <v>36</v>
      </c>
      <c r="L69">
        <v>32</v>
      </c>
    </row>
    <row r="70" spans="1:12" x14ac:dyDescent="0.25">
      <c r="A70">
        <v>69</v>
      </c>
      <c r="B70">
        <v>1253955</v>
      </c>
      <c r="C70">
        <v>259</v>
      </c>
      <c r="D70">
        <v>105</v>
      </c>
      <c r="E70">
        <v>0</v>
      </c>
      <c r="F70">
        <v>0</v>
      </c>
      <c r="G70">
        <v>6</v>
      </c>
      <c r="H70">
        <v>6</v>
      </c>
      <c r="I70">
        <v>0</v>
      </c>
      <c r="J70">
        <v>0</v>
      </c>
      <c r="K70">
        <v>36</v>
      </c>
      <c r="L70">
        <v>32</v>
      </c>
    </row>
    <row r="71" spans="1:12" x14ac:dyDescent="0.25">
      <c r="A71">
        <v>70</v>
      </c>
      <c r="B71">
        <v>1227000</v>
      </c>
      <c r="C71">
        <v>252</v>
      </c>
      <c r="D71">
        <v>105</v>
      </c>
      <c r="E71">
        <v>0</v>
      </c>
      <c r="F71">
        <v>0</v>
      </c>
      <c r="G71">
        <v>6</v>
      </c>
      <c r="H71">
        <v>6</v>
      </c>
      <c r="I71">
        <v>0</v>
      </c>
      <c r="J71">
        <v>0</v>
      </c>
      <c r="K71">
        <v>36</v>
      </c>
      <c r="L71">
        <v>32</v>
      </c>
    </row>
    <row r="72" spans="1:12" x14ac:dyDescent="0.25">
      <c r="A72">
        <v>71</v>
      </c>
      <c r="B72">
        <v>1099365</v>
      </c>
      <c r="C72">
        <v>245</v>
      </c>
      <c r="D72">
        <v>60</v>
      </c>
      <c r="E72">
        <v>0</v>
      </c>
      <c r="F72">
        <v>0</v>
      </c>
      <c r="G72">
        <v>0</v>
      </c>
      <c r="H72">
        <v>6</v>
      </c>
      <c r="I72">
        <v>0</v>
      </c>
      <c r="J72">
        <v>0</v>
      </c>
      <c r="K72">
        <v>24</v>
      </c>
      <c r="L72">
        <v>20</v>
      </c>
    </row>
    <row r="73" spans="1:12" x14ac:dyDescent="0.25">
      <c r="A73">
        <v>72</v>
      </c>
      <c r="B73">
        <v>1069625</v>
      </c>
      <c r="C73">
        <v>238</v>
      </c>
      <c r="D73">
        <v>60</v>
      </c>
      <c r="E73">
        <v>0</v>
      </c>
      <c r="F73">
        <v>0</v>
      </c>
      <c r="G73">
        <v>0</v>
      </c>
      <c r="H73">
        <v>6</v>
      </c>
      <c r="I73">
        <v>0</v>
      </c>
      <c r="J73">
        <v>0</v>
      </c>
      <c r="K73">
        <v>24</v>
      </c>
      <c r="L73">
        <v>20</v>
      </c>
    </row>
    <row r="74" spans="1:12" x14ac:dyDescent="0.25">
      <c r="A74">
        <v>73</v>
      </c>
      <c r="B74">
        <v>1039150</v>
      </c>
      <c r="C74">
        <v>230</v>
      </c>
      <c r="D74">
        <v>60</v>
      </c>
      <c r="E74">
        <v>0</v>
      </c>
      <c r="F74">
        <v>0</v>
      </c>
      <c r="G74">
        <v>0</v>
      </c>
      <c r="H74">
        <v>6</v>
      </c>
      <c r="I74">
        <v>0</v>
      </c>
      <c r="J74">
        <v>0</v>
      </c>
      <c r="K74">
        <v>24</v>
      </c>
      <c r="L74">
        <v>20</v>
      </c>
    </row>
    <row r="75" spans="1:12" x14ac:dyDescent="0.25">
      <c r="A75">
        <v>74</v>
      </c>
      <c r="B75">
        <v>1007935</v>
      </c>
      <c r="C75">
        <v>222</v>
      </c>
      <c r="D75">
        <v>60</v>
      </c>
      <c r="E75">
        <v>0</v>
      </c>
      <c r="F75">
        <v>0</v>
      </c>
      <c r="G75">
        <v>0</v>
      </c>
      <c r="H75">
        <v>6</v>
      </c>
      <c r="I75">
        <v>0</v>
      </c>
      <c r="J75">
        <v>0</v>
      </c>
      <c r="K75">
        <v>24</v>
      </c>
      <c r="L75">
        <v>20</v>
      </c>
    </row>
    <row r="76" spans="1:12" x14ac:dyDescent="0.25">
      <c r="A76">
        <v>75</v>
      </c>
      <c r="B76">
        <v>975970</v>
      </c>
      <c r="C76">
        <v>214</v>
      </c>
      <c r="D76">
        <v>60</v>
      </c>
      <c r="E76">
        <v>0</v>
      </c>
      <c r="F76">
        <v>0</v>
      </c>
      <c r="G76">
        <v>0</v>
      </c>
      <c r="H76">
        <v>6</v>
      </c>
      <c r="I76">
        <v>0</v>
      </c>
      <c r="J76">
        <v>0</v>
      </c>
      <c r="K76">
        <v>24</v>
      </c>
      <c r="L76">
        <v>20</v>
      </c>
    </row>
    <row r="77" spans="1:12" x14ac:dyDescent="0.25">
      <c r="A77">
        <v>76</v>
      </c>
      <c r="B77">
        <v>943250</v>
      </c>
      <c r="C77">
        <v>206</v>
      </c>
      <c r="D77">
        <v>60</v>
      </c>
      <c r="E77">
        <v>0</v>
      </c>
      <c r="F77">
        <v>0</v>
      </c>
      <c r="G77">
        <v>0</v>
      </c>
      <c r="H77">
        <v>6</v>
      </c>
      <c r="I77">
        <v>0</v>
      </c>
      <c r="J77">
        <v>0</v>
      </c>
      <c r="K77">
        <v>24</v>
      </c>
      <c r="L77">
        <v>20</v>
      </c>
    </row>
    <row r="78" spans="1:12" x14ac:dyDescent="0.25">
      <c r="A78">
        <v>77</v>
      </c>
      <c r="B78">
        <v>909765</v>
      </c>
      <c r="C78">
        <v>198</v>
      </c>
      <c r="D78">
        <v>60</v>
      </c>
      <c r="E78">
        <v>0</v>
      </c>
      <c r="F78">
        <v>0</v>
      </c>
      <c r="G78">
        <v>0</v>
      </c>
      <c r="H78">
        <v>6</v>
      </c>
      <c r="I78">
        <v>0</v>
      </c>
      <c r="J78">
        <v>0</v>
      </c>
      <c r="K78">
        <v>24</v>
      </c>
      <c r="L78">
        <v>20</v>
      </c>
    </row>
    <row r="79" spans="1:12" x14ac:dyDescent="0.25">
      <c r="A79">
        <v>78</v>
      </c>
      <c r="B79">
        <v>875505</v>
      </c>
      <c r="C79">
        <v>189</v>
      </c>
      <c r="D79">
        <v>60</v>
      </c>
      <c r="E79">
        <v>0</v>
      </c>
      <c r="F79">
        <v>0</v>
      </c>
      <c r="G79">
        <v>0</v>
      </c>
      <c r="H79">
        <v>6</v>
      </c>
      <c r="I79">
        <v>0</v>
      </c>
      <c r="J79">
        <v>0</v>
      </c>
      <c r="K79">
        <v>24</v>
      </c>
      <c r="L79">
        <v>20</v>
      </c>
    </row>
    <row r="80" spans="1:12" x14ac:dyDescent="0.25">
      <c r="A80">
        <v>79</v>
      </c>
      <c r="B80">
        <v>840460</v>
      </c>
      <c r="C80">
        <v>181</v>
      </c>
      <c r="D80">
        <v>60</v>
      </c>
      <c r="E80">
        <v>0</v>
      </c>
      <c r="F80">
        <v>0</v>
      </c>
      <c r="G80">
        <v>0</v>
      </c>
      <c r="H80">
        <v>6</v>
      </c>
      <c r="I80">
        <v>0</v>
      </c>
      <c r="J80">
        <v>0</v>
      </c>
      <c r="K80">
        <v>24</v>
      </c>
      <c r="L80">
        <v>20</v>
      </c>
    </row>
    <row r="81" spans="1:12" x14ac:dyDescent="0.25">
      <c r="A81">
        <v>80</v>
      </c>
      <c r="B81">
        <v>804625</v>
      </c>
      <c r="C81">
        <v>172</v>
      </c>
      <c r="D81">
        <v>60</v>
      </c>
      <c r="E81">
        <v>0</v>
      </c>
      <c r="F81">
        <v>0</v>
      </c>
      <c r="G81">
        <v>0</v>
      </c>
      <c r="H81">
        <v>6</v>
      </c>
      <c r="I81">
        <v>0</v>
      </c>
      <c r="J81">
        <v>0</v>
      </c>
      <c r="K81">
        <v>24</v>
      </c>
      <c r="L81">
        <v>20</v>
      </c>
    </row>
    <row r="82" spans="1:12" x14ac:dyDescent="0.25">
      <c r="A82">
        <v>81</v>
      </c>
      <c r="B82">
        <v>647990</v>
      </c>
      <c r="C82">
        <v>162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 x14ac:dyDescent="0.25">
      <c r="A83">
        <v>82</v>
      </c>
      <c r="B83">
        <v>604745</v>
      </c>
      <c r="C83">
        <v>152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</row>
    <row r="84" spans="1:12" x14ac:dyDescent="0.25">
      <c r="A84">
        <v>83</v>
      </c>
      <c r="B84">
        <v>556140</v>
      </c>
      <c r="C84">
        <v>140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 x14ac:dyDescent="0.25">
      <c r="A85">
        <v>84</v>
      </c>
      <c r="B85">
        <v>501520</v>
      </c>
      <c r="C85">
        <v>126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</row>
    <row r="86" spans="1:12" x14ac:dyDescent="0.25">
      <c r="A86">
        <v>85</v>
      </c>
      <c r="B86">
        <v>440160</v>
      </c>
      <c r="C86">
        <v>111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</row>
    <row r="87" spans="1:12" x14ac:dyDescent="0.25">
      <c r="A87">
        <v>86</v>
      </c>
      <c r="B87">
        <v>371240</v>
      </c>
      <c r="C87">
        <v>93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1:12" x14ac:dyDescent="0.25">
      <c r="A88">
        <v>87</v>
      </c>
      <c r="B88">
        <v>293850</v>
      </c>
      <c r="C88">
        <v>74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x14ac:dyDescent="0.25">
      <c r="A89">
        <v>88</v>
      </c>
      <c r="B89">
        <v>206965</v>
      </c>
      <c r="C89">
        <v>52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1:12" x14ac:dyDescent="0.25">
      <c r="A90">
        <v>89</v>
      </c>
      <c r="B90">
        <v>109440</v>
      </c>
      <c r="C90">
        <v>28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1:12" x14ac:dyDescent="0.25">
      <c r="A91"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BCE7-4981-4AAD-96E1-E84571FAE03D}">
  <sheetPr codeName="Sheet9"/>
  <dimension ref="A1:BD176"/>
  <sheetViews>
    <sheetView workbookViewId="0">
      <selection activeCell="K11" sqref="K11"/>
    </sheetView>
  </sheetViews>
  <sheetFormatPr defaultColWidth="9.140625" defaultRowHeight="15" x14ac:dyDescent="0.25"/>
  <cols>
    <col min="1" max="1" width="9.42578125" style="2" bestFit="1" customWidth="1"/>
    <col min="2" max="2" width="22.5703125" style="2" bestFit="1" customWidth="1"/>
    <col min="3" max="3" width="1.42578125" style="2" customWidth="1"/>
    <col min="4" max="4" width="12.7109375" style="2" bestFit="1" customWidth="1"/>
    <col min="5" max="5" width="16.5703125" style="2" customWidth="1"/>
    <col min="6" max="14" width="9.140625" style="2"/>
    <col min="15" max="15" width="1.42578125" style="2" customWidth="1"/>
    <col min="16" max="16" width="9.42578125" style="2" bestFit="1" customWidth="1"/>
    <col min="17" max="17" width="21.7109375" style="2" customWidth="1"/>
    <col min="18" max="18" width="16.5703125" style="2" customWidth="1"/>
    <col min="19" max="19" width="1.42578125" style="2" customWidth="1"/>
    <col min="20" max="20" width="9.42578125" style="2" bestFit="1" customWidth="1"/>
    <col min="21" max="21" width="14.85546875" style="2" customWidth="1"/>
    <col min="22" max="22" width="16.5703125" style="2" customWidth="1"/>
    <col min="23" max="23" width="1.42578125" style="2" customWidth="1"/>
    <col min="24" max="25" width="13.42578125" style="2" customWidth="1"/>
    <col min="26" max="30" width="11.42578125" style="2" customWidth="1"/>
    <col min="31" max="31" width="1.42578125" style="2" customWidth="1"/>
    <col min="32" max="32" width="9.42578125" style="2" bestFit="1" customWidth="1"/>
    <col min="33" max="33" width="26.5703125" style="2" bestFit="1" customWidth="1"/>
    <col min="34" max="34" width="1.42578125" style="2" customWidth="1"/>
    <col min="35" max="35" width="9.42578125" style="2" bestFit="1" customWidth="1"/>
    <col min="36" max="36" width="16.5703125" style="2" customWidth="1"/>
    <col min="37" max="37" width="1.42578125" style="2" customWidth="1"/>
    <col min="38" max="38" width="9.42578125" style="2" bestFit="1" customWidth="1"/>
    <col min="39" max="39" width="26.140625" style="2" bestFit="1" customWidth="1"/>
    <col min="40" max="41" width="26.140625" style="2" customWidth="1"/>
    <col min="42" max="42" width="1.42578125" style="2" customWidth="1"/>
    <col min="43" max="43" width="9.42578125" style="2" bestFit="1" customWidth="1"/>
    <col min="44" max="44" width="16.5703125" style="2" customWidth="1"/>
    <col min="45" max="45" width="1.42578125" style="2" customWidth="1"/>
    <col min="46" max="46" width="12.42578125" style="2" customWidth="1"/>
    <col min="47" max="47" width="16.5703125" style="2" customWidth="1"/>
    <col min="48" max="48" width="1.42578125" style="2" customWidth="1"/>
    <col min="49" max="49" width="9.42578125" style="2" bestFit="1" customWidth="1"/>
    <col min="50" max="50" width="16.5703125" style="2" customWidth="1"/>
    <col min="51" max="51" width="1.42578125" style="2" customWidth="1"/>
    <col min="52" max="52" width="9.42578125" style="2" bestFit="1" customWidth="1"/>
    <col min="53" max="53" width="16.5703125" style="2" customWidth="1"/>
    <col min="54" max="54" width="1.42578125" style="2" customWidth="1"/>
    <col min="55" max="55" width="9.42578125" style="2" bestFit="1" customWidth="1"/>
    <col min="56" max="56" width="16.5703125" style="2" customWidth="1"/>
    <col min="57" max="57" width="1.42578125" style="2" customWidth="1"/>
    <col min="58" max="16384" width="9.140625" style="2"/>
  </cols>
  <sheetData>
    <row r="1" spans="1:56" x14ac:dyDescent="0.25">
      <c r="A1" s="191" t="s">
        <v>66</v>
      </c>
      <c r="B1" s="191"/>
      <c r="D1" s="191" t="s">
        <v>857</v>
      </c>
      <c r="E1" s="191"/>
      <c r="P1" s="191" t="s">
        <v>858</v>
      </c>
      <c r="Q1" s="191"/>
      <c r="R1" s="191"/>
      <c r="T1" s="191" t="s">
        <v>859</v>
      </c>
      <c r="U1" s="191"/>
      <c r="V1" s="191"/>
      <c r="X1" s="2" t="s">
        <v>823</v>
      </c>
      <c r="Y1" s="191" t="s">
        <v>860</v>
      </c>
      <c r="Z1" s="191"/>
      <c r="AA1" s="191" t="s">
        <v>861</v>
      </c>
      <c r="AB1" s="191"/>
      <c r="AC1" s="191" t="s">
        <v>862</v>
      </c>
      <c r="AD1" s="191"/>
      <c r="AF1" s="191" t="s">
        <v>863</v>
      </c>
      <c r="AG1" s="191"/>
      <c r="AI1" s="191" t="s">
        <v>52</v>
      </c>
      <c r="AJ1" s="191"/>
      <c r="AL1" s="191" t="s">
        <v>69</v>
      </c>
      <c r="AM1" s="191"/>
      <c r="AQ1" s="191" t="s">
        <v>864</v>
      </c>
      <c r="AR1" s="191"/>
      <c r="AT1" s="191" t="s">
        <v>71</v>
      </c>
      <c r="AU1" s="191"/>
      <c r="AW1" s="191" t="s">
        <v>72</v>
      </c>
      <c r="AX1" s="191"/>
      <c r="AZ1" s="191" t="s">
        <v>73</v>
      </c>
      <c r="BA1" s="191"/>
      <c r="BC1" s="191" t="s">
        <v>865</v>
      </c>
      <c r="BD1" s="191"/>
    </row>
    <row r="2" spans="1:56" x14ac:dyDescent="0.25">
      <c r="A2" s="2" t="s">
        <v>74</v>
      </c>
      <c r="B2" s="2" t="s">
        <v>24</v>
      </c>
      <c r="D2" s="9" t="s">
        <v>74</v>
      </c>
      <c r="E2" s="10" t="s">
        <v>24</v>
      </c>
      <c r="F2" s="10" t="s">
        <v>75</v>
      </c>
      <c r="G2" s="10" t="s">
        <v>29</v>
      </c>
      <c r="H2" s="10" t="s">
        <v>7</v>
      </c>
      <c r="I2" s="10" t="s">
        <v>0</v>
      </c>
      <c r="J2" s="10" t="s">
        <v>4</v>
      </c>
      <c r="K2" s="10" t="s">
        <v>76</v>
      </c>
      <c r="L2" s="10" t="s">
        <v>77</v>
      </c>
      <c r="M2" s="10" t="s">
        <v>52</v>
      </c>
      <c r="N2" s="11" t="s">
        <v>69</v>
      </c>
      <c r="P2" s="2" t="s">
        <v>74</v>
      </c>
      <c r="Q2" s="2" t="s">
        <v>78</v>
      </c>
      <c r="R2" s="2" t="s">
        <v>24</v>
      </c>
      <c r="T2" s="2" t="s">
        <v>74</v>
      </c>
      <c r="U2" s="2" t="s">
        <v>78</v>
      </c>
      <c r="V2" s="2" t="s">
        <v>24</v>
      </c>
      <c r="X2" s="2" t="s">
        <v>79</v>
      </c>
      <c r="Y2" s="2" t="s">
        <v>805</v>
      </c>
      <c r="Z2" s="2" t="s">
        <v>802</v>
      </c>
      <c r="AA2" s="2" t="s">
        <v>806</v>
      </c>
      <c r="AB2" s="2" t="s">
        <v>803</v>
      </c>
      <c r="AC2" s="2" t="s">
        <v>807</v>
      </c>
      <c r="AD2" s="2" t="s">
        <v>804</v>
      </c>
      <c r="AF2" s="2" t="s">
        <v>74</v>
      </c>
      <c r="AG2" s="2" t="s">
        <v>24</v>
      </c>
      <c r="AI2" s="2" t="s">
        <v>74</v>
      </c>
      <c r="AJ2" s="2" t="s">
        <v>24</v>
      </c>
      <c r="AL2" s="2" t="s">
        <v>74</v>
      </c>
      <c r="AM2" s="2" t="s">
        <v>24</v>
      </c>
      <c r="AN2" s="2" t="s">
        <v>789</v>
      </c>
      <c r="AO2" s="2" t="s">
        <v>788</v>
      </c>
      <c r="AQ2" s="2" t="s">
        <v>74</v>
      </c>
      <c r="AR2" s="2" t="s">
        <v>24</v>
      </c>
      <c r="AT2" s="2" t="s">
        <v>74</v>
      </c>
      <c r="AU2" s="2" t="s">
        <v>24</v>
      </c>
      <c r="AW2" s="2" t="s">
        <v>74</v>
      </c>
      <c r="AX2" s="2" t="s">
        <v>24</v>
      </c>
      <c r="AZ2" s="2" t="s">
        <v>74</v>
      </c>
      <c r="BA2" s="2" t="s">
        <v>24</v>
      </c>
      <c r="BC2" s="2" t="s">
        <v>74</v>
      </c>
      <c r="BD2" s="2" t="s">
        <v>24</v>
      </c>
    </row>
    <row r="3" spans="1:56" ht="30" customHeight="1" x14ac:dyDescent="0.25">
      <c r="A3" s="2" t="e" vm="3">
        <f>_xlfn.IMAGE(_xlfn.CONCAT("https://raw.githubusercontent.com/ItsCryp7iC/Genshin-Image-Hosting/main/",A$1,"/",ExperienceImg[[#This Row],[Name]],".png"),ExperienceImg[[#This Row],[Name]])</f>
        <v>#VALUE!</v>
      </c>
      <c r="B3" s="2" t="s">
        <v>80</v>
      </c>
      <c r="D3" s="15" t="e" vm="4">
        <f>_xlfn.IMAGE(_xlfn.CONCAT("https://raw.githubusercontent.com/ItsCryp7iC/Genshin-Image-Hosting/main/",D$1,"/",CharacterDetailsImg[[#This Row],[Name]],".png"),CharacterDetailsImg[[#This Row],[Name]])</f>
        <v>#VALUE!</v>
      </c>
      <c r="E3" s="12" t="s">
        <v>81</v>
      </c>
      <c r="F3" s="12" t="e" vm="5">
        <f t="shared" ref="F3:F26" si="0">$AT$3</f>
        <v>#VALUE!</v>
      </c>
      <c r="G3" s="12" t="e" vm="6">
        <f>$AW$4</f>
        <v>#VALUE!</v>
      </c>
      <c r="H3" s="17">
        <v>1.2</v>
      </c>
      <c r="I3" s="12" t="e" vm="7">
        <f>$P$8</f>
        <v>#VALUE!</v>
      </c>
      <c r="J3" s="2" t="e" vm="8">
        <f>$T$9</f>
        <v>#VALUE!</v>
      </c>
      <c r="K3" s="12" t="e" vm="9">
        <f>$AF$9</f>
        <v>#VALUE!</v>
      </c>
      <c r="L3" s="12" t="e" vm="10">
        <f>$Z$5</f>
        <v>#VALUE!</v>
      </c>
      <c r="M3" s="12" t="e" vm="11">
        <f>$AI$5</f>
        <v>#VALUE!</v>
      </c>
      <c r="N3" s="16" t="e" vm="12">
        <f>IF(OR(
E3="TravelerAnemo",
E3="TravelerGeo",
E3="TravelerElectro",
E3="TravelerDendro",
E3="TravelerHydro",
E3="TravelerPyro",
E3="TravelerCryo"),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3" s="2" t="e" vm="13">
        <f>_xlfn.IMAGE(_xlfn.CONCAT("https://raw.githubusercontent.com/ItsCryp7iC/Genshin-Image-Hosting/main/",P$1,"/",WorldBossImg[[#This Row],[Name]],".png"),WorldBossImg[[#This Row],[Name]])</f>
        <v>#VALUE!</v>
      </c>
      <c r="Q3" s="2" t="s">
        <v>82</v>
      </c>
      <c r="R3" s="2" t="s">
        <v>83</v>
      </c>
      <c r="T3" s="2" t="e" vm="14">
        <f>_xlfn.IMAGE(_xlfn.CONCAT("https://raw.githubusercontent.com/ItsCryp7iC/Genshin-Image-Hosting/main/",T$1,"/",WeeklyBossImg[[#This Row],[Name]],".png"),WeeklyBossImg[[#This Row],[Name]])</f>
        <v>#VALUE!</v>
      </c>
      <c r="U3" s="2" t="s">
        <v>84</v>
      </c>
      <c r="V3" s="2" t="s">
        <v>85</v>
      </c>
      <c r="X3" s="2" t="s">
        <v>194</v>
      </c>
      <c r="Y3" s="2" t="s">
        <v>213</v>
      </c>
      <c r="Z3" s="2" t="e" vm="15">
        <f>_xlfn.IMAGE(_xlfn.CONCAT("https://raw.githubusercontent.com/ItsCryp7iC/Genshin-Image-Hosting/main/",$X$1,"/",Y$1,"/",MonsterMaterialsImg[[#This Row],[3*Name]],".png"),MonsterMaterialsImg[[#This Row],[3*Name]])</f>
        <v>#VALUE!</v>
      </c>
      <c r="AA3" s="2" t="s">
        <v>204</v>
      </c>
      <c r="AB3" s="2" t="e" vm="16">
        <f>_xlfn.IMAGE(_xlfn.CONCAT("https://raw.githubusercontent.com/ItsCryp7iC/Genshin-Image-Hosting/main/",$X$1,"/",AA$1,"/",MonsterMaterialsImg[[#This Row],[2*Name]],".png"),MonsterMaterialsImg[[#This Row],[2*Name]])</f>
        <v>#VALUE!</v>
      </c>
      <c r="AC3" s="2" t="s">
        <v>195</v>
      </c>
      <c r="AD3" s="2" t="e" vm="17">
        <f>_xlfn.IMAGE(_xlfn.CONCAT("https://raw.githubusercontent.com/ItsCryp7iC/Genshin-Image-Hosting/main/",$X$1,"/",AC$1,"/",MonsterMaterialsImg[[#This Row],[1*Name]],".png"),MonsterMaterialsImg[[#This Row],[1*Name]])</f>
        <v>#VALUE!</v>
      </c>
      <c r="AF3" s="2" t="e" vm="18">
        <f>_xlfn.IMAGE(_xlfn.CONCAT("https://raw.githubusercontent.com/ItsCryp7iC/Genshin-Image-Hosting/main/",AF$1,"/",TalentBooksImg[[#This Row],[Name]],".png"),TalentBooksImg[[#This Row],[Name]])</f>
        <v>#VALUE!</v>
      </c>
      <c r="AG3" s="2" t="s">
        <v>185</v>
      </c>
      <c r="AI3" s="2" t="e" vm="19">
        <f>_xlfn.IMAGE(_xlfn.CONCAT("https://raw.githubusercontent.com/ItsCryp7iC/Genshin-Image-Hosting/main/",AI$1,"/",LocalSpecialtiesImg[[#This Row],[Name]],".png"),LocalSpecialtiesImg[[#This Row],[Name]])</f>
        <v>#VALUE!</v>
      </c>
      <c r="AJ3" s="2" t="s">
        <v>461</v>
      </c>
      <c r="AL3" s="2" t="e" vm="20">
        <f>_xlfn.IMAGE(_xlfn.CONCAT("https://raw.githubusercontent.com/ItsCryp7iC/Genshin-Image-Hosting/main/",AL$1,"/",GemsImg[[#This Row],[Name]],".png"),GemsImg[[#This Row],[Name]])</f>
        <v>#VALUE!</v>
      </c>
      <c r="AM3" s="2" t="str">
        <f>_xlfn.CONCAT(GemsImg[[#This Row],[Column2]],GemsImg[[#This Row],[Column1]])</f>
        <v>BrilliantDiamondGemstone</v>
      </c>
      <c r="AN3" s="2" t="s">
        <v>771</v>
      </c>
      <c r="AO3" s="2" t="s">
        <v>56</v>
      </c>
      <c r="AQ3" s="2" t="e" vm="21">
        <f>_xlfn.IMAGE(_xlfn.CONCAT("https://raw.githubusercontent.com/ItsCryp7iC/Genshin-Image-Hosting/main/",AQ$1,"/",MiscImg[[#This Row],[Name]],".png"),MiscImg[[#This Row],[Name]])</f>
        <v>#VALUE!</v>
      </c>
      <c r="AR3" s="2" t="s">
        <v>50</v>
      </c>
      <c r="AT3" s="2" t="e" vm="22">
        <f>_xlfn.IMAGE(_xlfn.CONCAT("https://raw.githubusercontent.com/ItsCryp7iC/Genshin-Image-Hosting/main/",AT$1,"/",BilletImg[[#This Row],[Name]],".png"),BilletImg[[#This Row],[Name]])</f>
        <v>#VALUE!</v>
      </c>
      <c r="AU3" s="2" t="s">
        <v>90</v>
      </c>
      <c r="AW3" s="2" t="e" vm="23">
        <f>_xlfn.IMAGE(_xlfn.CONCAT("https://raw.githubusercontent.com/ItsCryp7iC/Genshin-Image-Hosting/main/",AW$1,"/",ElementsImg[[#This Row],[Name]],".png"),ElementsImg[[#This Row],[Name]])</f>
        <v>#VALUE!</v>
      </c>
      <c r="AX3" s="2" t="s">
        <v>91</v>
      </c>
      <c r="AZ3" s="2" t="e" vm="24">
        <f>_xlfn.IMAGE(_xlfn.CONCAT("https://raw.githubusercontent.com/ItsCryp7iC/Genshin-Image-Hosting/main/",AZ$1,"/",WeaponsImg[[#This Row],[Name]],".png"),WeaponsImg[[#This Row],[Name]])</f>
        <v>#VALUE!</v>
      </c>
      <c r="BA3" s="2" t="s">
        <v>92</v>
      </c>
      <c r="BC3" s="2" t="e" vm="25">
        <f>_xlfn.IMAGE(_xlfn.CONCAT("https://raw.githubusercontent.com/ItsCryp7iC/Genshin-Image-Hosting/main/",BC$1,"/",WeaponMaterialsImg[[#This Row],[Name]],".png"),WeaponMaterialsImg[[#This Row],[Name]])</f>
        <v>#VALUE!</v>
      </c>
      <c r="BD3" s="2" t="s">
        <v>93</v>
      </c>
    </row>
    <row r="4" spans="1:56" ht="30" customHeight="1" x14ac:dyDescent="0.25">
      <c r="A4" s="2" t="e" vm="26">
        <f>_xlfn.IMAGE(_xlfn.CONCAT("https://raw.githubusercontent.com/ItsCryp7iC/Genshin-Image-Hosting/main/",A$1,"/",ExperienceImg[[#This Row],[Name]],".png"),ExperienceImg[[#This Row],[Name]])</f>
        <v>#VALUE!</v>
      </c>
      <c r="B4" s="2" t="s">
        <v>94</v>
      </c>
      <c r="D4" s="4" t="e" vm="27">
        <f>_xlfn.IMAGE(_xlfn.CONCAT("https://raw.githubusercontent.com/ItsCryp7iC/Genshin-Image-Hosting/main/",D$1,"/",CharacterDetailsImg[[#This Row],[Name]],".png"),CharacterDetailsImg[[#This Row],[Name]])</f>
        <v>#VALUE!</v>
      </c>
      <c r="E4" s="2" t="s">
        <v>95</v>
      </c>
      <c r="F4" s="2" t="e" vm="5">
        <f t="shared" si="0"/>
        <v>#VALUE!</v>
      </c>
      <c r="G4" s="2" t="e" vm="28">
        <f>$AW$6</f>
        <v>#VALUE!</v>
      </c>
      <c r="H4" s="13">
        <v>3.4</v>
      </c>
      <c r="I4" s="2" t="e" vm="29">
        <f>$P$24</f>
        <v>#VALUE!</v>
      </c>
      <c r="J4" s="3" t="e" vm="30">
        <f>$T$22</f>
        <v>#VALUE!</v>
      </c>
      <c r="K4" s="2" t="e" vm="31">
        <f>$AF$33</f>
        <v>#VALUE!</v>
      </c>
      <c r="L4" s="2" t="e" vm="32">
        <f>$Z$13</f>
        <v>#VALUE!</v>
      </c>
      <c r="M4" s="2" t="e" vm="33">
        <f>$AI$34</f>
        <v>#VALUE!</v>
      </c>
      <c r="N4" s="5" t="e" vm="34">
        <f>IF(OR(
E4="TravelerAnemo",
E4="TravelerGeo",
E4="TravelerElectro",
E4="TravelerDendro",
E4="TravelerHydro",
E4="TravelerPyro",
E4="TravelerCryo"),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4" s="2" t="e" vm="35">
        <f>_xlfn.IMAGE(_xlfn.CONCAT("https://raw.githubusercontent.com/ItsCryp7iC/Genshin-Image-Hosting/main/",P$1,"/",WorldBossImg[[#This Row],[Name]],".png"),WorldBossImg[[#This Row],[Name]])</f>
        <v>#VALUE!</v>
      </c>
      <c r="Q4" s="2" t="s">
        <v>109</v>
      </c>
      <c r="R4" s="2" t="s">
        <v>110</v>
      </c>
      <c r="T4" s="2" t="e" vm="36">
        <f>_xlfn.IMAGE(_xlfn.CONCAT("https://raw.githubusercontent.com/ItsCryp7iC/Genshin-Image-Hosting/main/",T$1,"/",WeeklyBossImg[[#This Row],[Name]],".png"),WeeklyBossImg[[#This Row],[Name]])</f>
        <v>#VALUE!</v>
      </c>
      <c r="U4" s="2" t="s">
        <v>84</v>
      </c>
      <c r="V4" s="2" t="s">
        <v>98</v>
      </c>
      <c r="X4" s="2" t="s">
        <v>86</v>
      </c>
      <c r="Y4" s="2" t="s">
        <v>112</v>
      </c>
      <c r="Z4" s="2" t="e" vm="37">
        <f>_xlfn.IMAGE(_xlfn.CONCAT("https://raw.githubusercontent.com/ItsCryp7iC/Genshin-Image-Hosting/main/",$X$1,"/",Y$1,"/",MonsterMaterialsImg[[#This Row],[3*Name]],".png"),MonsterMaterialsImg[[#This Row],[3*Name]])</f>
        <v>#VALUE!</v>
      </c>
      <c r="AA4" s="2" t="s">
        <v>99</v>
      </c>
      <c r="AB4" s="2" t="e" vm="38">
        <f>_xlfn.IMAGE(_xlfn.CONCAT("https://raw.githubusercontent.com/ItsCryp7iC/Genshin-Image-Hosting/main/",$X$1,"/",AA$1,"/",MonsterMaterialsImg[[#This Row],[2*Name]],".png"),MonsterMaterialsImg[[#This Row],[2*Name]])</f>
        <v>#VALUE!</v>
      </c>
      <c r="AC4" s="2" t="s">
        <v>87</v>
      </c>
      <c r="AD4" s="2" t="e" vm="39">
        <f>_xlfn.IMAGE(_xlfn.CONCAT("https://raw.githubusercontent.com/ItsCryp7iC/Genshin-Image-Hosting/main/",$X$1,"/",AC$1,"/",MonsterMaterialsImg[[#This Row],[1*Name]],".png"),MonsterMaterialsImg[[#This Row],[1*Name]])</f>
        <v>#VALUE!</v>
      </c>
      <c r="AF4" s="2" t="e" vm="40">
        <f>_xlfn.IMAGE(_xlfn.CONCAT("https://raw.githubusercontent.com/ItsCryp7iC/Genshin-Image-Hosting/main/",AF$1,"/",TalentBooksImg[[#This Row],[Name]],".png"),TalentBooksImg[[#This Row],[Name]])</f>
        <v>#VALUE!</v>
      </c>
      <c r="AG4" s="2" t="s">
        <v>176</v>
      </c>
      <c r="AI4" s="2" t="e" vm="41">
        <f>_xlfn.IMAGE(_xlfn.CONCAT("https://raw.githubusercontent.com/ItsCryp7iC/Genshin-Image-Hosting/main/",AI$1,"/",LocalSpecialtiesImg[[#This Row],[Name]],".png"),LocalSpecialtiesImg[[#This Row],[Name]])</f>
        <v>#VALUE!</v>
      </c>
      <c r="AJ4" s="2" t="s">
        <v>446</v>
      </c>
      <c r="AL4" s="2" t="e" vm="42">
        <f>_xlfn.IMAGE(_xlfn.CONCAT("https://raw.githubusercontent.com/ItsCryp7iC/Genshin-Image-Hosting/main/",AL$1,"/",GemsImg[[#This Row],[Name]],".png"),GemsImg[[#This Row],[Name]])</f>
        <v>#VALUE!</v>
      </c>
      <c r="AM4" s="2" t="str">
        <f>_xlfn.CONCAT(GemsImg[[#This Row],[Column2]],GemsImg[[#This Row],[Column1]])</f>
        <v>BrilliantDiamondChunk</v>
      </c>
      <c r="AN4" s="2" t="s">
        <v>771</v>
      </c>
      <c r="AO4" s="2" t="s">
        <v>55</v>
      </c>
      <c r="AQ4" s="2" t="e" vm="43">
        <f>_xlfn.IMAGE(_xlfn.CONCAT("https://raw.githubusercontent.com/ItsCryp7iC/Genshin-Image-Hosting/main/",AQ$1,"/",MiscImg[[#This Row],[Name]],".png"),MiscImg[[#This Row],[Name]])</f>
        <v>#VALUE!</v>
      </c>
      <c r="AR4" s="2" t="s">
        <v>102</v>
      </c>
      <c r="AT4" s="2" t="e" vm="44">
        <f>_xlfn.IMAGE(_xlfn.CONCAT("https://raw.githubusercontent.com/ItsCryp7iC/Genshin-Image-Hosting/main/",AT$1,"/",BilletImg[[#This Row],[Name]],".png"),BilletImg[[#This Row],[Name]])</f>
        <v>#VALUE!</v>
      </c>
      <c r="AU4" s="2" t="s">
        <v>103</v>
      </c>
      <c r="AW4" s="2" t="e" vm="45">
        <f>_xlfn.IMAGE(_xlfn.CONCAT("https://raw.githubusercontent.com/ItsCryp7iC/Genshin-Image-Hosting/main/",AW$1,"/",ElementsImg[[#This Row],[Name]],".png"),ElementsImg[[#This Row],[Name]])</f>
        <v>#VALUE!</v>
      </c>
      <c r="AX4" s="2" t="s">
        <v>104</v>
      </c>
      <c r="AZ4" s="2" t="e" vm="46">
        <f>_xlfn.IMAGE(_xlfn.CONCAT("https://raw.githubusercontent.com/ItsCryp7iC/Genshin-Image-Hosting/main/",AZ$1,"/",WeaponsImg[[#This Row],[Name]],".png"),WeaponsImg[[#This Row],[Name]])</f>
        <v>#VALUE!</v>
      </c>
      <c r="BA4" s="2" t="s">
        <v>105</v>
      </c>
      <c r="BC4" s="2" t="e" vm="47">
        <f>_xlfn.IMAGE(_xlfn.CONCAT("https://raw.githubusercontent.com/ItsCryp7iC/Genshin-Image-Hosting/main/",BC$1,"/",WeaponMaterialsImg[[#This Row],[Name]],".png"),WeaponMaterialsImg[[#This Row],[Name]])</f>
        <v>#VALUE!</v>
      </c>
      <c r="BD4" s="2" t="s">
        <v>106</v>
      </c>
    </row>
    <row r="5" spans="1:56" ht="30" customHeight="1" x14ac:dyDescent="0.25">
      <c r="A5" s="2" t="e" vm="48">
        <f>_xlfn.IMAGE(_xlfn.CONCAT("https://raw.githubusercontent.com/ItsCryp7iC/Genshin-Image-Hosting/main/",A$1,"/",ExperienceImg[[#This Row],[Name]],".png"),ExperienceImg[[#This Row],[Name]])</f>
        <v>#VALUE!</v>
      </c>
      <c r="B5" s="2" t="s">
        <v>107</v>
      </c>
      <c r="D5" s="4" t="e" vm="49">
        <f>_xlfn.IMAGE(_xlfn.CONCAT("https://raw.githubusercontent.com/ItsCryp7iC/Genshin-Image-Hosting/main/",D$1,"/",CharacterDetailsImg[[#This Row],[Name]],".png"),CharacterDetailsImg[[#This Row],[Name]])</f>
        <v>#VALUE!</v>
      </c>
      <c r="E5" s="2" t="s">
        <v>108</v>
      </c>
      <c r="F5" s="2" t="e" vm="5">
        <f t="shared" si="0"/>
        <v>#VALUE!</v>
      </c>
      <c r="G5" s="2" t="e" vm="50">
        <f>$AW$8</f>
        <v>#VALUE!</v>
      </c>
      <c r="H5" s="13">
        <v>1</v>
      </c>
      <c r="I5" s="2" t="e" vm="51">
        <f>$P$6</f>
        <v>#VALUE!</v>
      </c>
      <c r="J5" s="2" t="e" vm="52">
        <f>$T$3</f>
        <v>#VALUE!</v>
      </c>
      <c r="K5" s="2" t="e" vm="53">
        <f>$AF$6</f>
        <v>#VALUE!</v>
      </c>
      <c r="L5" s="2" t="e" vm="54">
        <f>$Z$8</f>
        <v>#VALUE!</v>
      </c>
      <c r="M5" s="2" t="e" vm="55">
        <f>$AI$6</f>
        <v>#VALUE!</v>
      </c>
      <c r="N5" s="5" t="e" vm="56">
        <f>IF(OR(
E5="TravelerAnemo",
E5="TravelerGeo",
E5="TravelerElectro",
E5="TravelerDendro",
E5="TravelerHydro",
E5="TravelerPyro",
E5="TravelerCryo"),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5" s="2" t="e" vm="57">
        <f>_xlfn.IMAGE(_xlfn.CONCAT("https://raw.githubusercontent.com/ItsCryp7iC/Genshin-Image-Hosting/main/",P$1,"/",WorldBossImg[[#This Row],[Name]],".png"),WorldBossImg[[#This Row],[Name]])</f>
        <v>#VALUE!</v>
      </c>
      <c r="Q5" s="2" t="s">
        <v>96</v>
      </c>
      <c r="R5" s="2" t="s">
        <v>97</v>
      </c>
      <c r="T5" s="2" t="e" vm="58">
        <f>_xlfn.IMAGE(_xlfn.CONCAT("https://raw.githubusercontent.com/ItsCryp7iC/Genshin-Image-Hosting/main/",T$1,"/",WeeklyBossImg[[#This Row],[Name]],".png"),WeeklyBossImg[[#This Row],[Name]])</f>
        <v>#VALUE!</v>
      </c>
      <c r="U5" s="2" t="s">
        <v>84</v>
      </c>
      <c r="V5" s="2" t="s">
        <v>111</v>
      </c>
      <c r="X5" s="2" t="s">
        <v>163</v>
      </c>
      <c r="Y5" s="2" t="s">
        <v>184</v>
      </c>
      <c r="Z5" s="2" t="e" vm="59">
        <f>_xlfn.IMAGE(_xlfn.CONCAT("https://raw.githubusercontent.com/ItsCryp7iC/Genshin-Image-Hosting/main/",$X$1,"/",Y$1,"/",MonsterMaterialsImg[[#This Row],[3*Name]],".png"),MonsterMaterialsImg[[#This Row],[3*Name]])</f>
        <v>#VALUE!</v>
      </c>
      <c r="AA5" s="2" t="s">
        <v>175</v>
      </c>
      <c r="AB5" s="2" t="e" vm="60">
        <f>_xlfn.IMAGE(_xlfn.CONCAT("https://raw.githubusercontent.com/ItsCryp7iC/Genshin-Image-Hosting/main/",$X$1,"/",AA$1,"/",MonsterMaterialsImg[[#This Row],[2*Name]],".png"),MonsterMaterialsImg[[#This Row],[2*Name]])</f>
        <v>#VALUE!</v>
      </c>
      <c r="AC5" s="2" t="s">
        <v>164</v>
      </c>
      <c r="AD5" s="2" t="e" vm="61">
        <f>_xlfn.IMAGE(_xlfn.CONCAT("https://raw.githubusercontent.com/ItsCryp7iC/Genshin-Image-Hosting/main/",$X$1,"/",AC$1,"/",MonsterMaterialsImg[[#This Row],[1*Name]],".png"),MonsterMaterialsImg[[#This Row],[1*Name]])</f>
        <v>#VALUE!</v>
      </c>
      <c r="AF5" s="2" t="e" vm="62">
        <f>_xlfn.IMAGE(_xlfn.CONCAT("https://raw.githubusercontent.com/ItsCryp7iC/Genshin-Image-Hosting/main/",AF$1,"/",TalentBooksImg[[#This Row],[Name]],".png"),TalentBooksImg[[#This Row],[Name]])</f>
        <v>#VALUE!</v>
      </c>
      <c r="AG5" s="2" t="s">
        <v>165</v>
      </c>
      <c r="AI5" s="2" t="e" vm="63">
        <f>_xlfn.IMAGE(_xlfn.CONCAT("https://raw.githubusercontent.com/ItsCryp7iC/Genshin-Image-Hosting/main/",AI$1,"/",LocalSpecialtiesImg[[#This Row],[Name]],".png"),LocalSpecialtiesImg[[#This Row],[Name]])</f>
        <v>#VALUE!</v>
      </c>
      <c r="AJ5" s="2" t="s">
        <v>129</v>
      </c>
      <c r="AL5" s="2" t="e" vm="64">
        <f>_xlfn.IMAGE(_xlfn.CONCAT("https://raw.githubusercontent.com/ItsCryp7iC/Genshin-Image-Hosting/main/",AL$1,"/",GemsImg[[#This Row],[Name]],".png"),GemsImg[[#This Row],[Name]])</f>
        <v>#VALUE!</v>
      </c>
      <c r="AM5" s="2" t="str">
        <f>_xlfn.CONCAT(GemsImg[[#This Row],[Column2]],GemsImg[[#This Row],[Column1]])</f>
        <v>BrilliantDiamondFragment</v>
      </c>
      <c r="AN5" s="2" t="s">
        <v>771</v>
      </c>
      <c r="AO5" s="2" t="s">
        <v>54</v>
      </c>
      <c r="AQ5" s="2" t="e" vm="65">
        <f>_xlfn.IMAGE(_xlfn.CONCAT("https://raw.githubusercontent.com/ItsCryp7iC/Genshin-Image-Hosting/main/",AQ$1,"/",MiscImg[[#This Row],[Name]],".png"),MiscImg[[#This Row],[Name]])</f>
        <v>#VALUE!</v>
      </c>
      <c r="AR5" s="2" t="s">
        <v>839</v>
      </c>
      <c r="AT5" s="2" t="e" vm="66">
        <f>_xlfn.IMAGE(_xlfn.CONCAT("https://raw.githubusercontent.com/ItsCryp7iC/Genshin-Image-Hosting/main/",AT$1,"/",BilletImg[[#This Row],[Name]],".png"),BilletImg[[#This Row],[Name]])</f>
        <v>#VALUE!</v>
      </c>
      <c r="AU5" s="2" t="s">
        <v>116</v>
      </c>
      <c r="AW5" s="2" t="e" vm="67">
        <f>_xlfn.IMAGE(_xlfn.CONCAT("https://raw.githubusercontent.com/ItsCryp7iC/Genshin-Image-Hosting/main/",AW$1,"/",ElementsImg[[#This Row],[Name]],".png"),ElementsImg[[#This Row],[Name]])</f>
        <v>#VALUE!</v>
      </c>
      <c r="AX5" s="2" t="s">
        <v>117</v>
      </c>
      <c r="AZ5" s="2" t="e" vm="68">
        <f>_xlfn.IMAGE(_xlfn.CONCAT("https://raw.githubusercontent.com/ItsCryp7iC/Genshin-Image-Hosting/main/",AZ$1,"/",WeaponsImg[[#This Row],[Name]],".png"),WeaponsImg[[#This Row],[Name]])</f>
        <v>#VALUE!</v>
      </c>
      <c r="BA5" s="2" t="s">
        <v>118</v>
      </c>
      <c r="BC5" s="2" t="e" vm="69">
        <f>_xlfn.IMAGE(_xlfn.CONCAT("https://raw.githubusercontent.com/ItsCryp7iC/Genshin-Image-Hosting/main/",BC$1,"/",WeaponMaterialsImg[[#This Row],[Name]],".png"),WeaponMaterialsImg[[#This Row],[Name]])</f>
        <v>#VALUE!</v>
      </c>
      <c r="BD5" s="2" t="s">
        <v>119</v>
      </c>
    </row>
    <row r="6" spans="1:56" ht="30" customHeight="1" x14ac:dyDescent="0.25">
      <c r="A6" s="2" t="e" vm="70">
        <f>_xlfn.IMAGE(_xlfn.CONCAT("https://raw.githubusercontent.com/ItsCryp7iC/Genshin-Image-Hosting/main/",A$1,"/",ExperienceImg[[#This Row],[Name]],".png"),ExperienceImg[[#This Row],[Name]])</f>
        <v>#VALUE!</v>
      </c>
      <c r="B6" s="2" t="s">
        <v>120</v>
      </c>
      <c r="D6" s="4" t="e" vm="71">
        <f>_xlfn.IMAGE(_xlfn.CONCAT("https://raw.githubusercontent.com/ItsCryp7iC/Genshin-Image-Hosting/main/",D$1,"/",CharacterDetailsImg[[#This Row],[Name]],".png"),CharacterDetailsImg[[#This Row],[Name]])</f>
        <v>#VALUE!</v>
      </c>
      <c r="E6" s="2" t="s">
        <v>121</v>
      </c>
      <c r="F6" s="2" t="e" vm="5">
        <f t="shared" si="0"/>
        <v>#VALUE!</v>
      </c>
      <c r="G6" s="2" t="e" vm="6">
        <f>$AW$4</f>
        <v>#VALUE!</v>
      </c>
      <c r="H6" s="13">
        <v>4.5</v>
      </c>
      <c r="I6" s="2" t="e" vm="72">
        <f>$P$26</f>
        <v>#VALUE!</v>
      </c>
      <c r="J6" s="2" t="e" vm="73">
        <f>$T$27</f>
        <v>#VALUE!</v>
      </c>
      <c r="K6" s="2" t="e" vm="74">
        <f>$AF$27</f>
        <v>#VALUE!</v>
      </c>
      <c r="L6" s="2" t="e" vm="75">
        <f>$Z$11</f>
        <v>#VALUE!</v>
      </c>
      <c r="M6" s="2" t="e" vm="76">
        <f>$AI$33</f>
        <v>#VALUE!</v>
      </c>
      <c r="N6" s="5" t="e" vm="12">
        <f>IF(OR(
E6="TravelerAnemo",
E6="TravelerGeo",
E6="TravelerElectro",
E6="TravelerDendro",
E6="TravelerHydro",
E6="TravelerPyro",
E6="TravelerCryo"),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6" s="2" t="e" vm="77">
        <f>_xlfn.IMAGE(_xlfn.CONCAT("https://raw.githubusercontent.com/ItsCryp7iC/Genshin-Image-Hosting/main/",P$1,"/",WorldBossImg[[#This Row],[Name]],".png"),WorldBossImg[[#This Row],[Name]])</f>
        <v>#VALUE!</v>
      </c>
      <c r="Q6" s="2" t="s">
        <v>148</v>
      </c>
      <c r="R6" s="2" t="s">
        <v>149</v>
      </c>
      <c r="T6" s="2" t="e" vm="78">
        <f>_xlfn.IMAGE(_xlfn.CONCAT("https://raw.githubusercontent.com/ItsCryp7iC/Genshin-Image-Hosting/main/",T$1,"/",WeeklyBossImg[[#This Row],[Name]],".png"),WeeklyBossImg[[#This Row],[Name]])</f>
        <v>#VALUE!</v>
      </c>
      <c r="U6" s="2" t="s">
        <v>124</v>
      </c>
      <c r="V6" s="2" t="s">
        <v>125</v>
      </c>
      <c r="X6" s="2" t="s">
        <v>126</v>
      </c>
      <c r="Y6" s="2" t="s">
        <v>151</v>
      </c>
      <c r="Z6" s="2" t="e" vm="79">
        <f>_xlfn.IMAGE(_xlfn.CONCAT("https://raw.githubusercontent.com/ItsCryp7iC/Genshin-Image-Hosting/main/",$X$1,"/",Y$1,"/",MonsterMaterialsImg[[#This Row],[3*Name]],".png"),MonsterMaterialsImg[[#This Row],[3*Name]])</f>
        <v>#VALUE!</v>
      </c>
      <c r="AA6" s="2" t="s">
        <v>139</v>
      </c>
      <c r="AB6" s="2" t="e" vm="80">
        <f>_xlfn.IMAGE(_xlfn.CONCAT("https://raw.githubusercontent.com/ItsCryp7iC/Genshin-Image-Hosting/main/",$X$1,"/",AA$1,"/",MonsterMaterialsImg[[#This Row],[2*Name]],".png"),MonsterMaterialsImg[[#This Row],[2*Name]])</f>
        <v>#VALUE!</v>
      </c>
      <c r="AC6" s="2" t="s">
        <v>127</v>
      </c>
      <c r="AD6" s="2" t="e" vm="81">
        <f>_xlfn.IMAGE(_xlfn.CONCAT("https://raw.githubusercontent.com/ItsCryp7iC/Genshin-Image-Hosting/main/",$X$1,"/",AC$1,"/",MonsterMaterialsImg[[#This Row],[1*Name]],".png"),MonsterMaterialsImg[[#This Row],[1*Name]])</f>
        <v>#VALUE!</v>
      </c>
      <c r="AF6" s="2" t="e" vm="82">
        <f>_xlfn.IMAGE(_xlfn.CONCAT("https://raw.githubusercontent.com/ItsCryp7iC/Genshin-Image-Hosting/main/",AF$1,"/",TalentBooksImg[[#This Row],[Name]],".png"),TalentBooksImg[[#This Row],[Name]])</f>
        <v>#VALUE!</v>
      </c>
      <c r="AG6" s="2" t="s">
        <v>152</v>
      </c>
      <c r="AI6" s="2" t="e" vm="83">
        <f>_xlfn.IMAGE(_xlfn.CONCAT("https://raw.githubusercontent.com/ItsCryp7iC/Genshin-Image-Hosting/main/",AI$1,"/",LocalSpecialtiesImg[[#This Row],[Name]],".png"),LocalSpecialtiesImg[[#This Row],[Name]])</f>
        <v>#VALUE!</v>
      </c>
      <c r="AJ6" s="2" t="s">
        <v>456</v>
      </c>
      <c r="AL6" s="2" t="e" vm="84">
        <f>_xlfn.IMAGE(_xlfn.CONCAT("https://raw.githubusercontent.com/ItsCryp7iC/Genshin-Image-Hosting/main/",AL$1,"/",GemsImg[[#This Row],[Name]],".png"),GemsImg[[#This Row],[Name]])</f>
        <v>#VALUE!</v>
      </c>
      <c r="AM6" s="2" t="str">
        <f>_xlfn.CONCAT(GemsImg[[#This Row],[Column2]],GemsImg[[#This Row],[Column1]])</f>
        <v>BrilliantDiamondSilver</v>
      </c>
      <c r="AN6" s="2" t="s">
        <v>771</v>
      </c>
      <c r="AO6" s="2" t="s">
        <v>53</v>
      </c>
      <c r="AQ6" s="2" t="e" vm="85">
        <f>_xlfn.IMAGE(_xlfn.CONCAT("https://raw.githubusercontent.com/ItsCryp7iC/Genshin-Image-Hosting/main/",AQ$1,"/",MiscImg[[#This Row],[Name]],".png"),MiscImg[[#This Row],[Name]])</f>
        <v>#VALUE!</v>
      </c>
      <c r="AR6" s="2" t="s">
        <v>115</v>
      </c>
      <c r="AT6" s="2" t="e" vm="86">
        <f>_xlfn.IMAGE(_xlfn.CONCAT("https://raw.githubusercontent.com/ItsCryp7iC/Genshin-Image-Hosting/main/",AT$1,"/",BilletImg[[#This Row],[Name]],".png"),BilletImg[[#This Row],[Name]])</f>
        <v>#VALUE!</v>
      </c>
      <c r="AU6" s="2" t="s">
        <v>131</v>
      </c>
      <c r="AW6" s="2" t="e" vm="87">
        <f>_xlfn.IMAGE(_xlfn.CONCAT("https://raw.githubusercontent.com/ItsCryp7iC/Genshin-Image-Hosting/main/",AW$1,"/",ElementsImg[[#This Row],[Name]],".png"),ElementsImg[[#This Row],[Name]])</f>
        <v>#VALUE!</v>
      </c>
      <c r="AX6" s="2" t="s">
        <v>132</v>
      </c>
      <c r="AZ6" s="2" t="e" vm="88">
        <f>_xlfn.IMAGE(_xlfn.CONCAT("https://raw.githubusercontent.com/ItsCryp7iC/Genshin-Image-Hosting/main/",AZ$1,"/",WeaponsImg[[#This Row],[Name]],".png"),WeaponsImg[[#This Row],[Name]])</f>
        <v>#VALUE!</v>
      </c>
      <c r="BA6" s="2" t="s">
        <v>133</v>
      </c>
      <c r="BC6" s="2" t="e" vm="89">
        <f>_xlfn.IMAGE(_xlfn.CONCAT("https://raw.githubusercontent.com/ItsCryp7iC/Genshin-Image-Hosting/main/",BC$1,"/",WeaponMaterialsImg[[#This Row],[Name]],".png"),WeaponMaterialsImg[[#This Row],[Name]])</f>
        <v>#VALUE!</v>
      </c>
      <c r="BD6" s="2" t="s">
        <v>134</v>
      </c>
    </row>
    <row r="7" spans="1:56" ht="30" customHeight="1" x14ac:dyDescent="0.25">
      <c r="D7" s="4" t="e" vm="90">
        <f>_xlfn.IMAGE(_xlfn.CONCAT("https://raw.githubusercontent.com/ItsCryp7iC/Genshin-Image-Hosting/main/",D$1,"/",CharacterDetailsImg[[#This Row],[Name]],".png"),CharacterDetailsImg[[#This Row],[Name]])</f>
        <v>#VALUE!</v>
      </c>
      <c r="E7" s="2" t="s">
        <v>135</v>
      </c>
      <c r="F7" s="2" t="e" vm="5">
        <f t="shared" si="0"/>
        <v>#VALUE!</v>
      </c>
      <c r="G7" s="2" t="e" vm="91">
        <f>$AW$5</f>
        <v>#VALUE!</v>
      </c>
      <c r="H7" s="13">
        <v>4.8</v>
      </c>
      <c r="I7" s="2" t="e" vm="92">
        <f>$P$30</f>
        <v>#VALUE!</v>
      </c>
      <c r="J7" s="2" t="e" vm="93">
        <f>$T$26</f>
        <v>#VALUE!</v>
      </c>
      <c r="K7" s="2" t="e" vm="94">
        <f>$AF$42</f>
        <v>#VALUE!</v>
      </c>
      <c r="L7" s="2" t="e" vm="95">
        <f>$Z$14</f>
        <v>#VALUE!</v>
      </c>
      <c r="M7" s="2" t="e" vm="96">
        <f>$AI$42</f>
        <v>#VALUE!</v>
      </c>
      <c r="N7" s="5" t="e" vm="97">
        <f>IF(OR(
E7="TravelerAnemo",
E7="TravelerGeo",
E7="TravelerElectro",
E7="TravelerDendro",
E7="TravelerHydro",
E7="TravelerPyro",
E7="TravelerCryo"),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7" s="2" t="e" vm="98">
        <f>_xlfn.IMAGE(_xlfn.CONCAT("https://raw.githubusercontent.com/ItsCryp7iC/Genshin-Image-Hosting/main/",P$1,"/",WorldBossImg[[#This Row],[Name]],".png"),WorldBossImg[[#This Row],[Name]])</f>
        <v>#VALUE!</v>
      </c>
      <c r="Q7" s="2" t="s">
        <v>136</v>
      </c>
      <c r="R7" s="2" t="s">
        <v>137</v>
      </c>
      <c r="T7" s="2" t="e" vm="99">
        <f>_xlfn.IMAGE(_xlfn.CONCAT("https://raw.githubusercontent.com/ItsCryp7iC/Genshin-Image-Hosting/main/",T$1,"/",WeeklyBossImg[[#This Row],[Name]],".png"),WeeklyBossImg[[#This Row],[Name]])</f>
        <v>#VALUE!</v>
      </c>
      <c r="U7" s="2" t="s">
        <v>124</v>
      </c>
      <c r="V7" s="2" t="s">
        <v>150</v>
      </c>
      <c r="X7" s="2" t="s">
        <v>252</v>
      </c>
      <c r="Y7" s="2" t="s">
        <v>271</v>
      </c>
      <c r="Z7" s="2" t="e" vm="100">
        <f>_xlfn.IMAGE(_xlfn.CONCAT("https://raw.githubusercontent.com/ItsCryp7iC/Genshin-Image-Hosting/main/",$X$1,"/",Y$1,"/",MonsterMaterialsImg[[#This Row],[3*Name]],".png"),MonsterMaterialsImg[[#This Row],[3*Name]])</f>
        <v>#VALUE!</v>
      </c>
      <c r="AA7" s="2" t="s">
        <v>262</v>
      </c>
      <c r="AB7" s="2" t="e" vm="101">
        <f>_xlfn.IMAGE(_xlfn.CONCAT("https://raw.githubusercontent.com/ItsCryp7iC/Genshin-Image-Hosting/main/",$X$1,"/",AA$1,"/",MonsterMaterialsImg[[#This Row],[2*Name]],".png"),MonsterMaterialsImg[[#This Row],[2*Name]])</f>
        <v>#VALUE!</v>
      </c>
      <c r="AC7" s="2" t="s">
        <v>253</v>
      </c>
      <c r="AD7" s="2" t="e" vm="102">
        <f>_xlfn.IMAGE(_xlfn.CONCAT("https://raw.githubusercontent.com/ItsCryp7iC/Genshin-Image-Hosting/main/",$X$1,"/",AC$1,"/",MonsterMaterialsImg[[#This Row],[1*Name]],".png"),MonsterMaterialsImg[[#This Row],[1*Name]])</f>
        <v>#VALUE!</v>
      </c>
      <c r="AF7" s="2" t="e" vm="103">
        <f>_xlfn.IMAGE(_xlfn.CONCAT("https://raw.githubusercontent.com/ItsCryp7iC/Genshin-Image-Hosting/main/",AF$1,"/",TalentBooksImg[[#This Row],[Name]],".png"),TalentBooksImg[[#This Row],[Name]])</f>
        <v>#VALUE!</v>
      </c>
      <c r="AG7" s="2" t="s">
        <v>140</v>
      </c>
      <c r="AI7" s="2" t="e" vm="104">
        <f>_xlfn.IMAGE(_xlfn.CONCAT("https://raw.githubusercontent.com/ItsCryp7iC/Genshin-Image-Hosting/main/",AI$1,"/",LocalSpecialtiesImg[[#This Row],[Name]],".png"),LocalSpecialtiesImg[[#This Row],[Name]])</f>
        <v>#VALUE!</v>
      </c>
      <c r="AJ7" s="2" t="s">
        <v>329</v>
      </c>
      <c r="AL7" s="2" t="e" vm="105">
        <f>_xlfn.IMAGE(_xlfn.CONCAT("https://raw.githubusercontent.com/ItsCryp7iC/Genshin-Image-Hosting/main/",AL$1,"/",GemsImg[[#This Row],[Name]],".png"),GemsImg[[#This Row],[Name]])</f>
        <v>#VALUE!</v>
      </c>
      <c r="AM7" s="2" t="str">
        <f>_xlfn.CONCAT(GemsImg[[#This Row],[Column2]],GemsImg[[#This Row],[Column1]])</f>
        <v>AgnidusAgateGemstone</v>
      </c>
      <c r="AN7" s="2" t="s">
        <v>772</v>
      </c>
      <c r="AO7" s="2" t="s">
        <v>56</v>
      </c>
      <c r="AQ7" s="2" t="e" vm="106">
        <f>_xlfn.IMAGE(_xlfn.CONCAT("https://raw.githubusercontent.com/ItsCryp7iC/Genshin-Image-Hosting/main/",AQ$1,"/",MiscImg[[#This Row],[Name]],".png"),MiscImg[[#This Row],[Name]])</f>
        <v>#VALUE!</v>
      </c>
      <c r="AR7" s="2" t="s">
        <v>130</v>
      </c>
      <c r="AT7" s="2" t="e" vm="107">
        <f>_xlfn.IMAGE(_xlfn.CONCAT("https://raw.githubusercontent.com/ItsCryp7iC/Genshin-Image-Hosting/main/",AT$1,"/",BilletImg[[#This Row],[Name]],".png"),BilletImg[[#This Row],[Name]])</f>
        <v>#VALUE!</v>
      </c>
      <c r="AU7" s="2" t="s">
        <v>143</v>
      </c>
      <c r="AW7" s="2" t="e" vm="108">
        <f>_xlfn.IMAGE(_xlfn.CONCAT("https://raw.githubusercontent.com/ItsCryp7iC/Genshin-Image-Hosting/main/",AW$1,"/",ElementsImg[[#This Row],[Name]],".png"),ElementsImg[[#This Row],[Name]])</f>
        <v>#VALUE!</v>
      </c>
      <c r="AX7" s="2" t="s">
        <v>144</v>
      </c>
      <c r="AZ7" s="2" t="e" vm="109">
        <f>_xlfn.IMAGE(_xlfn.CONCAT("https://raw.githubusercontent.com/ItsCryp7iC/Genshin-Image-Hosting/main/",AZ$1,"/",WeaponsImg[[#This Row],[Name]],".png"),WeaponsImg[[#This Row],[Name]])</f>
        <v>#VALUE!</v>
      </c>
      <c r="BA7" s="2" t="s">
        <v>145</v>
      </c>
      <c r="BC7" s="2" t="e" vm="110">
        <f>_xlfn.IMAGE(_xlfn.CONCAT("https://raw.githubusercontent.com/ItsCryp7iC/Genshin-Image-Hosting/main/",BC$1,"/",WeaponMaterialsImg[[#This Row],[Name]],".png"),WeaponMaterialsImg[[#This Row],[Name]])</f>
        <v>#VALUE!</v>
      </c>
      <c r="BD7" s="2" t="s">
        <v>146</v>
      </c>
    </row>
    <row r="8" spans="1:56" ht="30" customHeight="1" x14ac:dyDescent="0.25">
      <c r="D8" s="4" t="e" vm="111">
        <f>_xlfn.IMAGE(_xlfn.CONCAT("https://raw.githubusercontent.com/ItsCryp7iC/Genshin-Image-Hosting/main/",D$1,"/",CharacterDetailsImg[[#This Row],[Name]],".png"),CharacterDetailsImg[[#This Row],[Name]])</f>
        <v>#VALUE!</v>
      </c>
      <c r="E8" s="2" t="s">
        <v>147</v>
      </c>
      <c r="F8" s="2" t="e" vm="5">
        <f t="shared" si="0"/>
        <v>#VALUE!</v>
      </c>
      <c r="G8" s="2" t="e" vm="112">
        <f>$AW$7</f>
        <v>#VALUE!</v>
      </c>
      <c r="H8" s="13">
        <v>4.2</v>
      </c>
      <c r="I8" s="2" t="e" vm="113">
        <f>$P$31</f>
        <v>#VALUE!</v>
      </c>
      <c r="J8" s="2" t="e" vm="114">
        <f>$T$29</f>
        <v>#VALUE!</v>
      </c>
      <c r="K8" s="2" t="e" vm="94">
        <f>$AF$42</f>
        <v>#VALUE!</v>
      </c>
      <c r="L8" s="2" t="e" vm="115">
        <f>$Z$9</f>
        <v>#VALUE!</v>
      </c>
      <c r="M8" s="2" t="e" vm="116">
        <f>$AI$43</f>
        <v>#VALUE!</v>
      </c>
      <c r="N8" s="5" t="e" vm="117">
        <f>IF(OR(
E8="TravelerAnemo",
E8="TravelerGeo",
E8="TravelerElectro",
E8="TravelerDendro",
E8="TravelerHydro",
E8="TravelerPyro",
E8="TravelerCryo"),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8" s="2" t="e" vm="118">
        <f>_xlfn.IMAGE(_xlfn.CONCAT("https://raw.githubusercontent.com/ItsCryp7iC/Genshin-Image-Hosting/main/",P$1,"/",WorldBossImg[[#This Row],[Name]],".png"),WorldBossImg[[#This Row],[Name]])</f>
        <v>#VALUE!</v>
      </c>
      <c r="Q8" s="2" t="s">
        <v>122</v>
      </c>
      <c r="R8" s="2" t="s">
        <v>123</v>
      </c>
      <c r="T8" s="2" t="e" vm="119">
        <f>_xlfn.IMAGE(_xlfn.CONCAT("https://raw.githubusercontent.com/ItsCryp7iC/Genshin-Image-Hosting/main/",T$1,"/",WeeklyBossImg[[#This Row],[Name]],".png"),WeeklyBossImg[[#This Row],[Name]])</f>
        <v>#VALUE!</v>
      </c>
      <c r="U8" s="2" t="s">
        <v>124</v>
      </c>
      <c r="V8" s="2" t="s">
        <v>138</v>
      </c>
      <c r="X8" s="2" t="s">
        <v>223</v>
      </c>
      <c r="Y8" s="2" t="s">
        <v>242</v>
      </c>
      <c r="Z8" s="2" t="e" vm="120">
        <f>_xlfn.IMAGE(_xlfn.CONCAT("https://raw.githubusercontent.com/ItsCryp7iC/Genshin-Image-Hosting/main/",$X$1,"/",Y$1,"/",MonsterMaterialsImg[[#This Row],[3*Name]],".png"),MonsterMaterialsImg[[#This Row],[3*Name]])</f>
        <v>#VALUE!</v>
      </c>
      <c r="AA8" s="2" t="s">
        <v>233</v>
      </c>
      <c r="AB8" s="2" t="e" vm="121">
        <f>_xlfn.IMAGE(_xlfn.CONCAT("https://raw.githubusercontent.com/ItsCryp7iC/Genshin-Image-Hosting/main/",$X$1,"/",AA$1,"/",MonsterMaterialsImg[[#This Row],[2*Name]],".png"),MonsterMaterialsImg[[#This Row],[2*Name]])</f>
        <v>#VALUE!</v>
      </c>
      <c r="AC8" s="2" t="s">
        <v>224</v>
      </c>
      <c r="AD8" s="2" t="e" vm="122">
        <f>_xlfn.IMAGE(_xlfn.CONCAT("https://raw.githubusercontent.com/ItsCryp7iC/Genshin-Image-Hosting/main/",$X$1,"/",AC$1,"/",MonsterMaterialsImg[[#This Row],[1*Name]],".png"),MonsterMaterialsImg[[#This Row],[1*Name]])</f>
        <v>#VALUE!</v>
      </c>
      <c r="AF8" s="2" t="e" vm="123">
        <f>_xlfn.IMAGE(_xlfn.CONCAT("https://raw.githubusercontent.com/ItsCryp7iC/Genshin-Image-Hosting/main/",AF$1,"/",TalentBooksImg[[#This Row],[Name]],".png"),TalentBooksImg[[#This Row],[Name]])</f>
        <v>#VALUE!</v>
      </c>
      <c r="AG8" s="2" t="s">
        <v>128</v>
      </c>
      <c r="AI8" s="2" t="e" vm="124">
        <f>_xlfn.IMAGE(_xlfn.CONCAT("https://raw.githubusercontent.com/ItsCryp7iC/Genshin-Image-Hosting/main/",AI$1,"/",LocalSpecialtiesImg[[#This Row],[Name]],".png"),LocalSpecialtiesImg[[#This Row],[Name]])</f>
        <v>#VALUE!</v>
      </c>
      <c r="AJ8" s="2" t="s">
        <v>418</v>
      </c>
      <c r="AL8" s="2" t="e" vm="125">
        <f>_xlfn.IMAGE(_xlfn.CONCAT("https://raw.githubusercontent.com/ItsCryp7iC/Genshin-Image-Hosting/main/",AL$1,"/",GemsImg[[#This Row],[Name]],".png"),GemsImg[[#This Row],[Name]])</f>
        <v>#VALUE!</v>
      </c>
      <c r="AM8" s="2" t="str">
        <f>_xlfn.CONCAT(GemsImg[[#This Row],[Column2]],GemsImg[[#This Row],[Column1]])</f>
        <v>AgnidusAgateChunk</v>
      </c>
      <c r="AN8" s="2" t="s">
        <v>772</v>
      </c>
      <c r="AO8" s="2" t="s">
        <v>55</v>
      </c>
      <c r="AQ8" s="2" t="e" vm="126">
        <f>_xlfn.IMAGE(_xlfn.CONCAT("https://raw.githubusercontent.com/ItsCryp7iC/Genshin-Image-Hosting/main/",AQ$1,"/",MiscImg[[#This Row],[Name]],".png"),MiscImg[[#This Row],[Name]])</f>
        <v>#VALUE!</v>
      </c>
      <c r="AR8" s="2" t="s">
        <v>142</v>
      </c>
      <c r="AW8" s="2" t="e" vm="127">
        <f>_xlfn.IMAGE(_xlfn.CONCAT("https://raw.githubusercontent.com/ItsCryp7iC/Genshin-Image-Hosting/main/",AW$1,"/",ElementsImg[[#This Row],[Name]],".png"),ElementsImg[[#This Row],[Name]])</f>
        <v>#VALUE!</v>
      </c>
      <c r="AX8" s="2" t="s">
        <v>155</v>
      </c>
      <c r="AZ8" s="2" t="e" vm="128">
        <f>_xlfn.IMAGE(_xlfn.CONCAT("https://raw.githubusercontent.com/ItsCryp7iC/Genshin-Image-Hosting/main/",AZ$1,"/",WeaponsImg[[#This Row],[Name]],".png"),WeaponsImg[[#This Row],[Name]])</f>
        <v>#VALUE!</v>
      </c>
      <c r="BA8" s="2" t="s">
        <v>156</v>
      </c>
      <c r="BC8" s="2" t="e" vm="129">
        <f>_xlfn.IMAGE(_xlfn.CONCAT("https://raw.githubusercontent.com/ItsCryp7iC/Genshin-Image-Hosting/main/",BC$1,"/",WeaponMaterialsImg[[#This Row],[Name]],".png"),WeaponMaterialsImg[[#This Row],[Name]])</f>
        <v>#VALUE!</v>
      </c>
      <c r="BD8" s="2" t="s">
        <v>157</v>
      </c>
    </row>
    <row r="9" spans="1:56" ht="30" customHeight="1" x14ac:dyDescent="0.25">
      <c r="D9" s="4" t="e" vm="130">
        <f>_xlfn.IMAGE(_xlfn.CONCAT("https://raw.githubusercontent.com/ItsCryp7iC/Genshin-Image-Hosting/main/",D$1,"/",CharacterDetailsImg[[#This Row],[Name]],".png"),CharacterDetailsImg[[#This Row],[Name]])</f>
        <v>#VALUE!</v>
      </c>
      <c r="E9" s="2" t="s">
        <v>158</v>
      </c>
      <c r="F9" s="2" t="e" vm="5">
        <f t="shared" si="0"/>
        <v>#VALUE!</v>
      </c>
      <c r="G9" s="2" t="e" vm="131">
        <f>$AW$3</f>
        <v>#VALUE!</v>
      </c>
      <c r="H9" s="13">
        <v>1</v>
      </c>
      <c r="I9" s="2" t="e" vm="132">
        <f>$P$3</f>
        <v>#VALUE!</v>
      </c>
      <c r="J9" s="2" t="e" vm="52">
        <f>$T$3</f>
        <v>#VALUE!</v>
      </c>
      <c r="K9" s="2" t="e" vm="53">
        <f>$AF$6</f>
        <v>#VALUE!</v>
      </c>
      <c r="L9" s="2" t="e" vm="133">
        <f>$Z$4</f>
        <v>#VALUE!</v>
      </c>
      <c r="M9" s="2" t="e" vm="134">
        <f>$AI$10</f>
        <v>#VALUE!</v>
      </c>
      <c r="N9" s="5" t="e" vm="135">
        <f>IF(OR(
E9="TravelerAnemo",
E9="TravelerGeo",
E9="TravelerElectro",
E9="TravelerDendro",
E9="TravelerHydro",
E9="TravelerPyro",
E9="TravelerCryo"),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9" s="2" t="e" vm="136">
        <f>_xlfn.IMAGE(_xlfn.CONCAT("https://raw.githubusercontent.com/ItsCryp7iC/Genshin-Image-Hosting/main/",P$1,"/",WorldBossImg[[#This Row],[Name]],".png"),WorldBossImg[[#This Row],[Name]])</f>
        <v>#VALUE!</v>
      </c>
      <c r="Q9" s="2" t="s">
        <v>159</v>
      </c>
      <c r="R9" s="2" t="s">
        <v>160</v>
      </c>
      <c r="T9" s="2" t="e" vm="137">
        <f>_xlfn.IMAGE(_xlfn.CONCAT("https://raw.githubusercontent.com/ItsCryp7iC/Genshin-Image-Hosting/main/",T$1,"/",WeeklyBossImg[[#This Row],[Name]],".png"),WeeklyBossImg[[#This Row],[Name]])</f>
        <v>#VALUE!</v>
      </c>
      <c r="U9" s="2" t="s">
        <v>161</v>
      </c>
      <c r="V9" s="2" t="s">
        <v>183</v>
      </c>
      <c r="X9" s="2" t="s">
        <v>280</v>
      </c>
      <c r="Y9" s="2" t="s">
        <v>299</v>
      </c>
      <c r="Z9" s="2" t="e" vm="138">
        <f>_xlfn.IMAGE(_xlfn.CONCAT("https://raw.githubusercontent.com/ItsCryp7iC/Genshin-Image-Hosting/main/",$X$1,"/",Y$1,"/",MonsterMaterialsImg[[#This Row],[3*Name]],".png"),MonsterMaterialsImg[[#This Row],[3*Name]])</f>
        <v>#VALUE!</v>
      </c>
      <c r="AA9" s="2" t="s">
        <v>290</v>
      </c>
      <c r="AB9" s="2" t="e" vm="139">
        <f>_xlfn.IMAGE(_xlfn.CONCAT("https://raw.githubusercontent.com/ItsCryp7iC/Genshin-Image-Hosting/main/",$X$1,"/",AA$1,"/",MonsterMaterialsImg[[#This Row],[2*Name]],".png"),MonsterMaterialsImg[[#This Row],[2*Name]])</f>
        <v>#VALUE!</v>
      </c>
      <c r="AC9" s="2" t="s">
        <v>281</v>
      </c>
      <c r="AD9" s="2" t="e" vm="140">
        <f>_xlfn.IMAGE(_xlfn.CONCAT("https://raw.githubusercontent.com/ItsCryp7iC/Genshin-Image-Hosting/main/",$X$1,"/",AC$1,"/",MonsterMaterialsImg[[#This Row],[1*Name]],".png"),MonsterMaterialsImg[[#This Row],[1*Name]])</f>
        <v>#VALUE!</v>
      </c>
      <c r="AF9" s="2" t="e" vm="141">
        <f>_xlfn.IMAGE(_xlfn.CONCAT("https://raw.githubusercontent.com/ItsCryp7iC/Genshin-Image-Hosting/main/",AF$1,"/",TalentBooksImg[[#This Row],[Name]],".png"),TalentBooksImg[[#This Row],[Name]])</f>
        <v>#VALUE!</v>
      </c>
      <c r="AG9" s="2" t="s">
        <v>113</v>
      </c>
      <c r="AI9" s="2" t="e" vm="142">
        <f>_xlfn.IMAGE(_xlfn.CONCAT("https://raw.githubusercontent.com/ItsCryp7iC/Genshin-Image-Hosting/main/",AI$1,"/",LocalSpecialtiesImg[[#This Row],[Name]],".png"),LocalSpecialtiesImg[[#This Row],[Name]])</f>
        <v>#VALUE!</v>
      </c>
      <c r="AJ9" s="2" t="s">
        <v>114</v>
      </c>
      <c r="AL9" s="2" t="e" vm="143">
        <f>_xlfn.IMAGE(_xlfn.CONCAT("https://raw.githubusercontent.com/ItsCryp7iC/Genshin-Image-Hosting/main/",AL$1,"/",GemsImg[[#This Row],[Name]],".png"),GemsImg[[#This Row],[Name]])</f>
        <v>#VALUE!</v>
      </c>
      <c r="AM9" s="2" t="str">
        <f>_xlfn.CONCAT(GemsImg[[#This Row],[Column2]],GemsImg[[#This Row],[Column1]])</f>
        <v>AgnidusAgateFragment</v>
      </c>
      <c r="AN9" s="2" t="s">
        <v>772</v>
      </c>
      <c r="AO9" s="2" t="s">
        <v>54</v>
      </c>
      <c r="AQ9" s="2" t="e" vm="144">
        <f>_xlfn.IMAGE(_xlfn.CONCAT("https://raw.githubusercontent.com/ItsCryp7iC/Genshin-Image-Hosting/main/",AQ$1,"/",MiscImg[[#This Row],[Name]],".png"),MiscImg[[#This Row],[Name]])</f>
        <v>#VALUE!</v>
      </c>
      <c r="AR9" s="2" t="s">
        <v>154</v>
      </c>
      <c r="AW9" s="2" t="e" vm="145">
        <f>_xlfn.IMAGE(_xlfn.CONCAT("https://raw.githubusercontent.com/ItsCryp7iC/Genshin-Image-Hosting/main/",AW$1,"/",ElementsImg[[#This Row],[Name]],".png"),ElementsImg[[#This Row],[Name]])</f>
        <v>#VALUE!</v>
      </c>
      <c r="AX9" s="2" t="s">
        <v>168</v>
      </c>
      <c r="AZ9" s="2" t="e" vm="146">
        <f>_xlfn.IMAGE(_xlfn.CONCAT("https://raw.githubusercontent.com/ItsCryp7iC/Genshin-Image-Hosting/main/",AZ$1,"/",WeaponsImg[[#This Row],[Name]],".png"),WeaponsImg[[#This Row],[Name]])</f>
        <v>#VALUE!</v>
      </c>
      <c r="BA9" s="2" t="s">
        <v>169</v>
      </c>
      <c r="BC9" s="2" t="e" vm="147">
        <f>_xlfn.IMAGE(_xlfn.CONCAT("https://raw.githubusercontent.com/ItsCryp7iC/Genshin-Image-Hosting/main/",BC$1,"/",WeaponMaterialsImg[[#This Row],[Name]],".png"),WeaponMaterialsImg[[#This Row],[Name]])</f>
        <v>#VALUE!</v>
      </c>
      <c r="BD9" s="2" t="s">
        <v>170</v>
      </c>
    </row>
    <row r="10" spans="1:56" ht="30" customHeight="1" x14ac:dyDescent="0.25">
      <c r="D10" s="4" t="e" vm="148">
        <f>_xlfn.IMAGE(_xlfn.CONCAT("https://raw.githubusercontent.com/ItsCryp7iC/Genshin-Image-Hosting/main/",D$1,"/",CharacterDetailsImg[[#This Row],[Name]],".png"),CharacterDetailsImg[[#This Row],[Name]])</f>
        <v>#VALUE!</v>
      </c>
      <c r="E10" s="2" t="s">
        <v>171</v>
      </c>
      <c r="F10" s="2" t="e" vm="5">
        <f t="shared" si="0"/>
        <v>#VALUE!</v>
      </c>
      <c r="G10" s="2" t="e" vm="131">
        <f>$AW$3</f>
        <v>#VALUE!</v>
      </c>
      <c r="H10" s="13">
        <v>1</v>
      </c>
      <c r="I10" s="2" t="e" vm="149">
        <f>$P$11</f>
        <v>#VALUE!</v>
      </c>
      <c r="J10" s="2" t="e" vm="150">
        <f>$T$14</f>
        <v>#VALUE!</v>
      </c>
      <c r="K10" s="2" t="e" vm="151">
        <f>$AF$15</f>
        <v>#VALUE!</v>
      </c>
      <c r="L10" s="2" t="e" vm="54">
        <f>$Z$8</f>
        <v>#VALUE!</v>
      </c>
      <c r="M10" s="2" t="e" vm="152">
        <f>$AI$25</f>
        <v>#VALUE!</v>
      </c>
      <c r="N10" s="5" t="e" vm="135">
        <f>IF(OR(
E10="TravelerAnemo",
E10="TravelerGeo",
E10="TravelerElectro",
E10="TravelerDendro",
E10="TravelerHydro",
E10="TravelerPyro",
E10="TravelerCryo"),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0" s="2" t="e" vm="153">
        <f>_xlfn.IMAGE(_xlfn.CONCAT("https://raw.githubusercontent.com/ItsCryp7iC/Genshin-Image-Hosting/main/",P$1,"/",WorldBossImg[[#This Row],[Name]],".png"),WorldBossImg[[#This Row],[Name]])</f>
        <v>#VALUE!</v>
      </c>
      <c r="Q10" s="2" t="s">
        <v>172</v>
      </c>
      <c r="R10" s="2" t="s">
        <v>173</v>
      </c>
      <c r="T10" s="2" t="e" vm="154">
        <f>_xlfn.IMAGE(_xlfn.CONCAT("https://raw.githubusercontent.com/ItsCryp7iC/Genshin-Image-Hosting/main/",T$1,"/",WeeklyBossImg[[#This Row],[Name]],".png"),WeeklyBossImg[[#This Row],[Name]])</f>
        <v>#VALUE!</v>
      </c>
      <c r="U10" s="2" t="s">
        <v>161</v>
      </c>
      <c r="V10" s="2" t="s">
        <v>162</v>
      </c>
      <c r="X10" s="2" t="s">
        <v>309</v>
      </c>
      <c r="Y10" s="2" t="s">
        <v>327</v>
      </c>
      <c r="Z10" s="2" t="e" vm="155">
        <f>_xlfn.IMAGE(_xlfn.CONCAT("https://raw.githubusercontent.com/ItsCryp7iC/Genshin-Image-Hosting/main/",$X$1,"/",Y$1,"/",MonsterMaterialsImg[[#This Row],[3*Name]],".png"),MonsterMaterialsImg[[#This Row],[3*Name]])</f>
        <v>#VALUE!</v>
      </c>
      <c r="AA10" s="2" t="s">
        <v>319</v>
      </c>
      <c r="AB10" s="2" t="e" vm="156">
        <f>_xlfn.IMAGE(_xlfn.CONCAT("https://raw.githubusercontent.com/ItsCryp7iC/Genshin-Image-Hosting/main/",$X$1,"/",AA$1,"/",MonsterMaterialsImg[[#This Row],[2*Name]],".png"),MonsterMaterialsImg[[#This Row],[2*Name]])</f>
        <v>#VALUE!</v>
      </c>
      <c r="AC10" s="2" t="s">
        <v>310</v>
      </c>
      <c r="AD10" s="2" t="e" vm="157">
        <f>_xlfn.IMAGE(_xlfn.CONCAT("https://raw.githubusercontent.com/ItsCryp7iC/Genshin-Image-Hosting/main/",$X$1,"/",AC$1,"/",MonsterMaterialsImg[[#This Row],[1*Name]],".png"),MonsterMaterialsImg[[#This Row],[1*Name]])</f>
        <v>#VALUE!</v>
      </c>
      <c r="AF10" s="2" t="e" vm="158">
        <f>_xlfn.IMAGE(_xlfn.CONCAT("https://raw.githubusercontent.com/ItsCryp7iC/Genshin-Image-Hosting/main/",AF$1,"/",TalentBooksImg[[#This Row],[Name]],".png"),TalentBooksImg[[#This Row],[Name]])</f>
        <v>#VALUE!</v>
      </c>
      <c r="AG10" s="2" t="s">
        <v>100</v>
      </c>
      <c r="AI10" s="2" t="e" vm="159">
        <f>_xlfn.IMAGE(_xlfn.CONCAT("https://raw.githubusercontent.com/ItsCryp7iC/Genshin-Image-Hosting/main/",AI$1,"/",LocalSpecialtiesImg[[#This Row],[Name]],".png"),LocalSpecialtiesImg[[#This Row],[Name]])</f>
        <v>#VALUE!</v>
      </c>
      <c r="AJ10" s="2" t="s">
        <v>177</v>
      </c>
      <c r="AL10" s="2" t="e" vm="160">
        <f>_xlfn.IMAGE(_xlfn.CONCAT("https://raw.githubusercontent.com/ItsCryp7iC/Genshin-Image-Hosting/main/",AL$1,"/",GemsImg[[#This Row],[Name]],".png"),GemsImg[[#This Row],[Name]])</f>
        <v>#VALUE!</v>
      </c>
      <c r="AM10" s="2" t="str">
        <f>_xlfn.CONCAT(GemsImg[[#This Row],[Column2]],GemsImg[[#This Row],[Column1]])</f>
        <v>AgnidusAgateSilver</v>
      </c>
      <c r="AN10" s="2" t="s">
        <v>772</v>
      </c>
      <c r="AO10" s="2" t="s">
        <v>53</v>
      </c>
      <c r="AQ10" s="2" t="e" vm="161">
        <f>_xlfn.IMAGE(_xlfn.CONCAT("https://raw.githubusercontent.com/ItsCryp7iC/Genshin-Image-Hosting/main/",AQ$1,"/",MiscImg[[#This Row],[Name]],".png"),MiscImg[[#This Row],[Name]])</f>
        <v>#VALUE!</v>
      </c>
      <c r="AR10" s="2" t="s">
        <v>167</v>
      </c>
      <c r="AZ10" s="2" t="e" vm="162">
        <f>_xlfn.IMAGE(_xlfn.CONCAT("https://raw.githubusercontent.com/ItsCryp7iC/Genshin-Image-Hosting/main/",AZ$1,"/",WeaponsImg[[#This Row],[Name]],".png"),WeaponsImg[[#This Row],[Name]])</f>
        <v>#VALUE!</v>
      </c>
      <c r="BA10" s="2" t="s">
        <v>178</v>
      </c>
      <c r="BC10" s="2" t="e" vm="163">
        <f>_xlfn.IMAGE(_xlfn.CONCAT("https://raw.githubusercontent.com/ItsCryp7iC/Genshin-Image-Hosting/main/",BC$1,"/",WeaponMaterialsImg[[#This Row],[Name]],".png"),WeaponMaterialsImg[[#This Row],[Name]])</f>
        <v>#VALUE!</v>
      </c>
      <c r="BD10" s="2" t="s">
        <v>179</v>
      </c>
    </row>
    <row r="11" spans="1:56" ht="30" customHeight="1" x14ac:dyDescent="0.25">
      <c r="D11" s="4" t="e" vm="164">
        <f>_xlfn.IMAGE(_xlfn.CONCAT("https://raw.githubusercontent.com/ItsCryp7iC/Genshin-Image-Hosting/main/",D$1,"/",CharacterDetailsImg[[#This Row],[Name]],".png"),CharacterDetailsImg[[#This Row],[Name]])</f>
        <v>#VALUE!</v>
      </c>
      <c r="E11" s="2" t="s">
        <v>180</v>
      </c>
      <c r="F11" s="2" t="e" vm="5">
        <f t="shared" si="0"/>
        <v>#VALUE!</v>
      </c>
      <c r="G11" s="2" t="e" vm="165">
        <f>$AW$9</f>
        <v>#VALUE!</v>
      </c>
      <c r="H11" s="13">
        <v>2</v>
      </c>
      <c r="I11" s="2" t="e" vm="166">
        <f>$P$5</f>
        <v>#VALUE!</v>
      </c>
      <c r="J11" s="2" t="e" vm="167">
        <f>$T$8</f>
        <v>#VALUE!</v>
      </c>
      <c r="K11" s="2" t="e" vm="9">
        <f>$AF$9</f>
        <v>#VALUE!</v>
      </c>
      <c r="L11" s="2" t="e" vm="54">
        <f>$Z$8</f>
        <v>#VALUE!</v>
      </c>
      <c r="M11" s="2" t="e" vm="168">
        <f>$AI$9</f>
        <v>#VALUE!</v>
      </c>
      <c r="N11" s="5" t="e" vm="169">
        <f>IF(OR(
E11="TravelerAnemo",
E11="TravelerGeo",
E11="TravelerElectro",
E11="TravelerDendro",
E11="TravelerHydro",
E11="TravelerPyro",
E11="TravelerCryo"),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1" s="2" t="e" vm="170">
        <f>_xlfn.IMAGE(_xlfn.CONCAT("https://raw.githubusercontent.com/ItsCryp7iC/Genshin-Image-Hosting/main/",P$1,"/",WorldBossImg[[#This Row],[Name]],".png"),WorldBossImg[[#This Row],[Name]])</f>
        <v>#VALUE!</v>
      </c>
      <c r="Q11" s="2" t="s">
        <v>181</v>
      </c>
      <c r="R11" s="2" t="s">
        <v>182</v>
      </c>
      <c r="T11" s="2" t="e" vm="171">
        <f>_xlfn.IMAGE(_xlfn.CONCAT("https://raw.githubusercontent.com/ItsCryp7iC/Genshin-Image-Hosting/main/",T$1,"/",WeeklyBossImg[[#This Row],[Name]],".png"),WeeklyBossImg[[#This Row],[Name]])</f>
        <v>#VALUE!</v>
      </c>
      <c r="U11" s="2" t="s">
        <v>161</v>
      </c>
      <c r="V11" s="2" t="s">
        <v>174</v>
      </c>
      <c r="X11" s="2" t="s">
        <v>336</v>
      </c>
      <c r="Y11" s="2" t="s">
        <v>355</v>
      </c>
      <c r="Z11" s="2" t="e" vm="172">
        <f>_xlfn.IMAGE(_xlfn.CONCAT("https://raw.githubusercontent.com/ItsCryp7iC/Genshin-Image-Hosting/main/",$X$1,"/",Y$1,"/",MonsterMaterialsImg[[#This Row],[3*Name]],".png"),MonsterMaterialsImg[[#This Row],[3*Name]])</f>
        <v>#VALUE!</v>
      </c>
      <c r="AA11" s="2" t="s">
        <v>346</v>
      </c>
      <c r="AB11" s="2" t="e" vm="173">
        <f>_xlfn.IMAGE(_xlfn.CONCAT("https://raw.githubusercontent.com/ItsCryp7iC/Genshin-Image-Hosting/main/",$X$1,"/",AA$1,"/",MonsterMaterialsImg[[#This Row],[2*Name]],".png"),MonsterMaterialsImg[[#This Row],[2*Name]])</f>
        <v>#VALUE!</v>
      </c>
      <c r="AC11" s="2" t="s">
        <v>337</v>
      </c>
      <c r="AD11" s="2" t="e" vm="174">
        <f>_xlfn.IMAGE(_xlfn.CONCAT("https://raw.githubusercontent.com/ItsCryp7iC/Genshin-Image-Hosting/main/",$X$1,"/",AC$1,"/",MonsterMaterialsImg[[#This Row],[1*Name]],".png"),MonsterMaterialsImg[[#This Row],[1*Name]])</f>
        <v>#VALUE!</v>
      </c>
      <c r="AF11" s="2" t="e" vm="175">
        <f>_xlfn.IMAGE(_xlfn.CONCAT("https://raw.githubusercontent.com/ItsCryp7iC/Genshin-Image-Hosting/main/",AF$1,"/",TalentBooksImg[[#This Row],[Name]],".png"),TalentBooksImg[[#This Row],[Name]])</f>
        <v>#VALUE!</v>
      </c>
      <c r="AG11" s="2" t="s">
        <v>88</v>
      </c>
      <c r="AI11" s="2" t="e" vm="176">
        <f>_xlfn.IMAGE(_xlfn.CONCAT("https://raw.githubusercontent.com/ItsCryp7iC/Genshin-Image-Hosting/main/",AI$1,"/",LocalSpecialtiesImg[[#This Row],[Name]],".png"),LocalSpecialtiesImg[[#This Row],[Name]])</f>
        <v>#VALUE!</v>
      </c>
      <c r="AJ11" s="2" t="s">
        <v>226</v>
      </c>
      <c r="AL11" s="2" t="e" vm="177">
        <f>_xlfn.IMAGE(_xlfn.CONCAT("https://raw.githubusercontent.com/ItsCryp7iC/Genshin-Image-Hosting/main/",AL$1,"/",GemsImg[[#This Row],[Name]],".png"),GemsImg[[#This Row],[Name]])</f>
        <v>#VALUE!</v>
      </c>
      <c r="AM11" s="2" t="str">
        <f>_xlfn.CONCAT(GemsImg[[#This Row],[Column2]],GemsImg[[#This Row],[Column1]])</f>
        <v>VarunadaLazuriteGemstone</v>
      </c>
      <c r="AN11" s="2" t="s">
        <v>773</v>
      </c>
      <c r="AO11" s="2" t="s">
        <v>56</v>
      </c>
      <c r="AZ11" s="2" t="e" vm="178">
        <f>_xlfn.IMAGE(_xlfn.CONCAT("https://raw.githubusercontent.com/ItsCryp7iC/Genshin-Image-Hosting/main/",AZ$1,"/",WeaponsImg[[#This Row],[Name]],".png"),WeaponsImg[[#This Row],[Name]])</f>
        <v>#VALUE!</v>
      </c>
      <c r="BA11" s="2" t="s">
        <v>187</v>
      </c>
      <c r="BC11" s="2" t="e" vm="179">
        <f>_xlfn.IMAGE(_xlfn.CONCAT("https://raw.githubusercontent.com/ItsCryp7iC/Genshin-Image-Hosting/main/",BC$1,"/",WeaponMaterialsImg[[#This Row],[Name]],".png"),WeaponMaterialsImg[[#This Row],[Name]])</f>
        <v>#VALUE!</v>
      </c>
      <c r="BD11" s="2" t="s">
        <v>188</v>
      </c>
    </row>
    <row r="12" spans="1:56" ht="30" customHeight="1" x14ac:dyDescent="0.25">
      <c r="D12" s="4" t="e" vm="180">
        <f>_xlfn.IMAGE(_xlfn.CONCAT("https://raw.githubusercontent.com/ItsCryp7iC/Genshin-Image-Hosting/main/",D$1,"/",CharacterDetailsImg[[#This Row],[Name]],".png"),CharacterDetailsImg[[#This Row],[Name]])</f>
        <v>#VALUE!</v>
      </c>
      <c r="E12" s="2" t="s">
        <v>189</v>
      </c>
      <c r="F12" s="2" t="e" vm="5">
        <f t="shared" si="0"/>
        <v>#VALUE!</v>
      </c>
      <c r="G12" s="2" t="e" vm="165">
        <f>$AW$9</f>
        <v>#VALUE!</v>
      </c>
      <c r="H12" s="13">
        <v>2.6</v>
      </c>
      <c r="I12" s="2" t="e" vm="181">
        <f>$P$12</f>
        <v>#VALUE!</v>
      </c>
      <c r="J12" s="2" t="e" vm="182">
        <f>$T$13</f>
        <v>#VALUE!</v>
      </c>
      <c r="K12" s="2" t="e" vm="183">
        <f>$AF$24</f>
        <v>#VALUE!</v>
      </c>
      <c r="L12" s="2" t="e" vm="184">
        <f>$Z$10</f>
        <v>#VALUE!</v>
      </c>
      <c r="M12" s="2" t="e" vm="185">
        <f>$AI$21</f>
        <v>#VALUE!</v>
      </c>
      <c r="N12" s="5" t="e" vm="169">
        <f>IF(OR(
E12="TravelerAnemo",
E12="TravelerGeo",
E12="TravelerElectro",
E12="TravelerDendro",
E12="TravelerHydro",
E12="TravelerPyro",
E12="TravelerCryo"),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2" s="2" t="e" vm="186">
        <f>_xlfn.IMAGE(_xlfn.CONCAT("https://raw.githubusercontent.com/ItsCryp7iC/Genshin-Image-Hosting/main/",P$1,"/",WorldBossImg[[#This Row],[Name]],".png"),WorldBossImg[[#This Row],[Name]])</f>
        <v>#VALUE!</v>
      </c>
      <c r="Q12" s="2" t="s">
        <v>190</v>
      </c>
      <c r="R12" s="2" t="s">
        <v>191</v>
      </c>
      <c r="T12" s="2" t="e" vm="187">
        <f>_xlfn.IMAGE(_xlfn.CONCAT("https://raw.githubusercontent.com/ItsCryp7iC/Genshin-Image-Hosting/main/",T$1,"/",WeeklyBossImg[[#This Row],[Name]],".png"),WeeklyBossImg[[#This Row],[Name]])</f>
        <v>#VALUE!</v>
      </c>
      <c r="U12" s="2" t="s">
        <v>192</v>
      </c>
      <c r="V12" s="2" t="s">
        <v>193</v>
      </c>
      <c r="X12" s="2" t="s">
        <v>365</v>
      </c>
      <c r="Y12" s="2" t="s">
        <v>383</v>
      </c>
      <c r="Z12" s="2" t="e" vm="188">
        <f>_xlfn.IMAGE(_xlfn.CONCAT("https://raw.githubusercontent.com/ItsCryp7iC/Genshin-Image-Hosting/main/",$X$1,"/",Y$1,"/",MonsterMaterialsImg[[#This Row],[3*Name]],".png"),MonsterMaterialsImg[[#This Row],[3*Name]])</f>
        <v>#VALUE!</v>
      </c>
      <c r="AA12" s="2" t="s">
        <v>375</v>
      </c>
      <c r="AB12" s="2" t="e" vm="189">
        <f>_xlfn.IMAGE(_xlfn.CONCAT("https://raw.githubusercontent.com/ItsCryp7iC/Genshin-Image-Hosting/main/",$X$1,"/",AA$1,"/",MonsterMaterialsImg[[#This Row],[2*Name]],".png"),MonsterMaterialsImg[[#This Row],[2*Name]])</f>
        <v>#VALUE!</v>
      </c>
      <c r="AC12" s="2" t="s">
        <v>366</v>
      </c>
      <c r="AD12" s="2" t="e" vm="190">
        <f>_xlfn.IMAGE(_xlfn.CONCAT("https://raw.githubusercontent.com/ItsCryp7iC/Genshin-Image-Hosting/main/",$X$1,"/",AC$1,"/",MonsterMaterialsImg[[#This Row],[1*Name]],".png"),MonsterMaterialsImg[[#This Row],[1*Name]])</f>
        <v>#VALUE!</v>
      </c>
      <c r="AF12" s="2" t="e" vm="191">
        <f>_xlfn.IMAGE(_xlfn.CONCAT("https://raw.githubusercontent.com/ItsCryp7iC/Genshin-Image-Hosting/main/",AF$1,"/",TalentBooksImg[[#This Row],[Name]],".png"),TalentBooksImg[[#This Row],[Name]])</f>
        <v>#VALUE!</v>
      </c>
      <c r="AG12" s="2" t="s">
        <v>243</v>
      </c>
      <c r="AI12" s="2" t="e" vm="192">
        <f>_xlfn.IMAGE(_xlfn.CONCAT("https://raw.githubusercontent.com/ItsCryp7iC/Genshin-Image-Hosting/main/",AI$1,"/",LocalSpecialtiesImg[[#This Row],[Name]],".png"),LocalSpecialtiesImg[[#This Row],[Name]])</f>
        <v>#VALUE!</v>
      </c>
      <c r="AJ12" s="2" t="s">
        <v>301</v>
      </c>
      <c r="AL12" s="2" t="e" vm="193">
        <f>_xlfn.IMAGE(_xlfn.CONCAT("https://raw.githubusercontent.com/ItsCryp7iC/Genshin-Image-Hosting/main/",AL$1,"/",GemsImg[[#This Row],[Name]],".png"),GemsImg[[#This Row],[Name]])</f>
        <v>#VALUE!</v>
      </c>
      <c r="AM12" s="2" t="str">
        <f>_xlfn.CONCAT(GemsImg[[#This Row],[Column2]],GemsImg[[#This Row],[Column1]])</f>
        <v>VarunadaLazuriteChunk</v>
      </c>
      <c r="AN12" s="2" t="s">
        <v>773</v>
      </c>
      <c r="AO12" s="2" t="s">
        <v>55</v>
      </c>
      <c r="AZ12" s="2" t="e" vm="194">
        <f>_xlfn.IMAGE(_xlfn.CONCAT("https://raw.githubusercontent.com/ItsCryp7iC/Genshin-Image-Hosting/main/",AZ$1,"/",WeaponsImg[[#This Row],[Name]],".png"),WeaponsImg[[#This Row],[Name]])</f>
        <v>#VALUE!</v>
      </c>
      <c r="BA12" s="2" t="s">
        <v>198</v>
      </c>
      <c r="BC12" s="2" t="e" vm="195">
        <f>_xlfn.IMAGE(_xlfn.CONCAT("https://raw.githubusercontent.com/ItsCryp7iC/Genshin-Image-Hosting/main/",BC$1,"/",WeaponMaterialsImg[[#This Row],[Name]],".png"),WeaponMaterialsImg[[#This Row],[Name]])</f>
        <v>#VALUE!</v>
      </c>
      <c r="BD12" s="2" t="s">
        <v>199</v>
      </c>
    </row>
    <row r="13" spans="1:56" ht="30" customHeight="1" x14ac:dyDescent="0.25">
      <c r="D13" s="4" t="e" vm="196">
        <f>_xlfn.IMAGE(_xlfn.CONCAT("https://raw.githubusercontent.com/ItsCryp7iC/Genshin-Image-Hosting/main/",D$1,"/",CharacterDetailsImg[[#This Row],[Name]],".png"),CharacterDetailsImg[[#This Row],[Name]])</f>
        <v>#VALUE!</v>
      </c>
      <c r="E13" s="2" t="s">
        <v>200</v>
      </c>
      <c r="F13" s="2" t="e" vm="5">
        <f t="shared" si="0"/>
        <v>#VALUE!</v>
      </c>
      <c r="G13" s="2" t="e" vm="112">
        <f>$AW$7</f>
        <v>#VALUE!</v>
      </c>
      <c r="H13" s="13">
        <v>3.6</v>
      </c>
      <c r="I13" s="2" t="e" vm="197">
        <f>$P$14</f>
        <v>#VALUE!</v>
      </c>
      <c r="J13" s="2" t="e" vm="198">
        <f>$T$18</f>
        <v>#VALUE!</v>
      </c>
      <c r="K13" s="2" t="e" vm="183">
        <f>$AF$24</f>
        <v>#VALUE!</v>
      </c>
      <c r="L13" s="2" t="e" vm="184">
        <f>$Z$10</f>
        <v>#VALUE!</v>
      </c>
      <c r="M13" s="2" t="e" vm="185">
        <f>$AI$21</f>
        <v>#VALUE!</v>
      </c>
      <c r="N13" s="5" t="e" vm="117">
        <f>IF(OR(
E13="TravelerAnemo",
E13="TravelerGeo",
E13="TravelerElectro",
E13="TravelerDendro",
E13="TravelerHydro",
E13="TravelerPyro",
E13="TravelerCryo"),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3" s="2" t="e" vm="199">
        <f>_xlfn.IMAGE(_xlfn.CONCAT("https://raw.githubusercontent.com/ItsCryp7iC/Genshin-Image-Hosting/main/",P$1,"/",WorldBossImg[[#This Row],[Name]],".png"),WorldBossImg[[#This Row],[Name]])</f>
        <v>#VALUE!</v>
      </c>
      <c r="Q13" s="2" t="s">
        <v>201</v>
      </c>
      <c r="R13" s="2" t="s">
        <v>202</v>
      </c>
      <c r="T13" s="2" t="e" vm="200">
        <f>_xlfn.IMAGE(_xlfn.CONCAT("https://raw.githubusercontent.com/ItsCryp7iC/Genshin-Image-Hosting/main/",T$1,"/",WeeklyBossImg[[#This Row],[Name]],".png"),WeeklyBossImg[[#This Row],[Name]])</f>
        <v>#VALUE!</v>
      </c>
      <c r="U13" s="2" t="s">
        <v>192</v>
      </c>
      <c r="V13" s="2" t="s">
        <v>212</v>
      </c>
      <c r="X13" s="2" t="s">
        <v>44</v>
      </c>
      <c r="Y13" s="2" t="s">
        <v>403</v>
      </c>
      <c r="Z13" s="2" t="e" vm="201">
        <f>_xlfn.IMAGE(_xlfn.CONCAT("https://raw.githubusercontent.com/ItsCryp7iC/Genshin-Image-Hosting/main/",$X$1,"/",Y$1,"/",MonsterMaterialsImg[[#This Row],[3*Name]],".png"),MonsterMaterialsImg[[#This Row],[3*Name]])</f>
        <v>#VALUE!</v>
      </c>
      <c r="AA13" s="2" t="s">
        <v>397</v>
      </c>
      <c r="AB13" s="2" t="e" vm="202">
        <f>_xlfn.IMAGE(_xlfn.CONCAT("https://raw.githubusercontent.com/ItsCryp7iC/Genshin-Image-Hosting/main/",$X$1,"/",AA$1,"/",MonsterMaterialsImg[[#This Row],[2*Name]],".png"),MonsterMaterialsImg[[#This Row],[2*Name]])</f>
        <v>#VALUE!</v>
      </c>
      <c r="AC13" s="2" t="s">
        <v>391</v>
      </c>
      <c r="AD13" s="2" t="e" vm="203">
        <f>_xlfn.IMAGE(_xlfn.CONCAT("https://raw.githubusercontent.com/ItsCryp7iC/Genshin-Image-Hosting/main/",$X$1,"/",AC$1,"/",MonsterMaterialsImg[[#This Row],[1*Name]],".png"),MonsterMaterialsImg[[#This Row],[1*Name]])</f>
        <v>#VALUE!</v>
      </c>
      <c r="AF13" s="2" t="e" vm="204">
        <f>_xlfn.IMAGE(_xlfn.CONCAT("https://raw.githubusercontent.com/ItsCryp7iC/Genshin-Image-Hosting/main/",AF$1,"/",TalentBooksImg[[#This Row],[Name]],".png"),TalentBooksImg[[#This Row],[Name]])</f>
        <v>#VALUE!</v>
      </c>
      <c r="AG13" s="2" t="s">
        <v>234</v>
      </c>
      <c r="AI13" s="2" t="e" vm="205">
        <f>_xlfn.IMAGE(_xlfn.CONCAT("https://raw.githubusercontent.com/ItsCryp7iC/Genshin-Image-Hosting/main/",AI$1,"/",LocalSpecialtiesImg[[#This Row],[Name]],".png"),LocalSpecialtiesImg[[#This Row],[Name]])</f>
        <v>#VALUE!</v>
      </c>
      <c r="AJ13" s="2" t="s">
        <v>412</v>
      </c>
      <c r="AL13" s="2" t="e" vm="206">
        <f>_xlfn.IMAGE(_xlfn.CONCAT("https://raw.githubusercontent.com/ItsCryp7iC/Genshin-Image-Hosting/main/",AL$1,"/",GemsImg[[#This Row],[Name]],".png"),GemsImg[[#This Row],[Name]])</f>
        <v>#VALUE!</v>
      </c>
      <c r="AM13" s="2" t="str">
        <f>_xlfn.CONCAT(GemsImg[[#This Row],[Column2]],GemsImg[[#This Row],[Column1]])</f>
        <v>VarunadaLazuriteFragment</v>
      </c>
      <c r="AN13" s="2" t="s">
        <v>773</v>
      </c>
      <c r="AO13" s="2" t="s">
        <v>54</v>
      </c>
      <c r="AZ13" s="2" t="e" vm="207">
        <f>_xlfn.IMAGE(_xlfn.CONCAT("https://raw.githubusercontent.com/ItsCryp7iC/Genshin-Image-Hosting/main/",AZ$1,"/",WeaponsImg[[#This Row],[Name]],".png"),WeaponsImg[[#This Row],[Name]])</f>
        <v>#VALUE!</v>
      </c>
      <c r="BA13" s="2" t="s">
        <v>207</v>
      </c>
      <c r="BC13" s="2" t="e" vm="208">
        <f>_xlfn.IMAGE(_xlfn.CONCAT("https://raw.githubusercontent.com/ItsCryp7iC/Genshin-Image-Hosting/main/",BC$1,"/",WeaponMaterialsImg[[#This Row],[Name]],".png"),WeaponMaterialsImg[[#This Row],[Name]])</f>
        <v>#VALUE!</v>
      </c>
      <c r="BD13" s="2" t="s">
        <v>208</v>
      </c>
    </row>
    <row r="14" spans="1:56" ht="30" customHeight="1" x14ac:dyDescent="0.25">
      <c r="D14" s="4" t="e" vm="209">
        <f>_xlfn.IMAGE(_xlfn.CONCAT("https://raw.githubusercontent.com/ItsCryp7iC/Genshin-Image-Hosting/main/",D$1,"/",CharacterDetailsImg[[#This Row],[Name]],".png"),CharacterDetailsImg[[#This Row],[Name]])</f>
        <v>#VALUE!</v>
      </c>
      <c r="E14" s="2" t="s">
        <v>209</v>
      </c>
      <c r="F14" s="2" t="e" vm="5">
        <f t="shared" si="0"/>
        <v>#VALUE!</v>
      </c>
      <c r="G14" s="2" t="e" vm="91">
        <f>$AW$5</f>
        <v>#VALUE!</v>
      </c>
      <c r="H14" s="13">
        <v>1</v>
      </c>
      <c r="I14" s="2" t="e" vm="210">
        <f>$P$4</f>
        <v>#VALUE!</v>
      </c>
      <c r="J14" s="2" t="e" vm="211">
        <f>$T$7</f>
        <v>#VALUE!</v>
      </c>
      <c r="K14" s="2" t="e" vm="212">
        <f>$AF$12</f>
        <v>#VALUE!</v>
      </c>
      <c r="L14" s="2" t="e" vm="115">
        <f>$Z$9</f>
        <v>#VALUE!</v>
      </c>
      <c r="M14" s="2" t="e" vm="213">
        <f>$AI$18</f>
        <v>#VALUE!</v>
      </c>
      <c r="N14" s="5" t="e" vm="97">
        <f>IF(OR(
E14="TravelerAnemo",
E14="TravelerGeo",
E14="TravelerElectro",
E14="TravelerDendro",
E14="TravelerHydro",
E14="TravelerPyro",
E14="TravelerCryo"),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4" s="2" t="e" vm="214">
        <f>_xlfn.IMAGE(_xlfn.CONCAT("https://raw.githubusercontent.com/ItsCryp7iC/Genshin-Image-Hosting/main/",P$1,"/",WorldBossImg[[#This Row],[Name]],".png"),WorldBossImg[[#This Row],[Name]])</f>
        <v>#VALUE!</v>
      </c>
      <c r="Q14" s="2" t="s">
        <v>210</v>
      </c>
      <c r="R14" s="2" t="s">
        <v>211</v>
      </c>
      <c r="T14" s="2" t="e" vm="215">
        <f>_xlfn.IMAGE(_xlfn.CONCAT("https://raw.githubusercontent.com/ItsCryp7iC/Genshin-Image-Hosting/main/",T$1,"/",WeeklyBossImg[[#This Row],[Name]],".png"),WeeklyBossImg[[#This Row],[Name]])</f>
        <v>#VALUE!</v>
      </c>
      <c r="U14" s="2" t="s">
        <v>192</v>
      </c>
      <c r="V14" s="2" t="s">
        <v>203</v>
      </c>
      <c r="X14" s="2" t="s">
        <v>409</v>
      </c>
      <c r="Y14" s="2" t="s">
        <v>422</v>
      </c>
      <c r="Z14" s="2" t="e" vm="216">
        <f>_xlfn.IMAGE(_xlfn.CONCAT("https://raw.githubusercontent.com/ItsCryp7iC/Genshin-Image-Hosting/main/",$X$1,"/",Y$1,"/",MonsterMaterialsImg[[#This Row],[3*Name]],".png"),MonsterMaterialsImg[[#This Row],[3*Name]])</f>
        <v>#VALUE!</v>
      </c>
      <c r="AA14" s="2" t="s">
        <v>416</v>
      </c>
      <c r="AB14" s="2" t="e" vm="217">
        <f>_xlfn.IMAGE(_xlfn.CONCAT("https://raw.githubusercontent.com/ItsCryp7iC/Genshin-Image-Hosting/main/",$X$1,"/",AA$1,"/",MonsterMaterialsImg[[#This Row],[2*Name]],".png"),MonsterMaterialsImg[[#This Row],[2*Name]])</f>
        <v>#VALUE!</v>
      </c>
      <c r="AC14" s="2" t="s">
        <v>410</v>
      </c>
      <c r="AD14" s="2" t="e" vm="218">
        <f>_xlfn.IMAGE(_xlfn.CONCAT("https://raw.githubusercontent.com/ItsCryp7iC/Genshin-Image-Hosting/main/",$X$1,"/",AC$1,"/",MonsterMaterialsImg[[#This Row],[1*Name]],".png"),MonsterMaterialsImg[[#This Row],[1*Name]])</f>
        <v>#VALUE!</v>
      </c>
      <c r="AF14" s="2" t="e" vm="219">
        <f>_xlfn.IMAGE(_xlfn.CONCAT("https://raw.githubusercontent.com/ItsCryp7iC/Genshin-Image-Hosting/main/",AF$1,"/",TalentBooksImg[[#This Row],[Name]],".png"),TalentBooksImg[[#This Row],[Name]])</f>
        <v>#VALUE!</v>
      </c>
      <c r="AG14" s="2" t="s">
        <v>225</v>
      </c>
      <c r="AI14" s="2" t="e" vm="220">
        <f>_xlfn.IMAGE(_xlfn.CONCAT("https://raw.githubusercontent.com/ItsCryp7iC/Genshin-Image-Hosting/main/",AI$1,"/",LocalSpecialtiesImg[[#This Row],[Name]],".png"),LocalSpecialtiesImg[[#This Row],[Name]])</f>
        <v>#VALUE!</v>
      </c>
      <c r="AJ14" s="2" t="s">
        <v>206</v>
      </c>
      <c r="AL14" s="2" t="e" vm="221">
        <f>_xlfn.IMAGE(_xlfn.CONCAT("https://raw.githubusercontent.com/ItsCryp7iC/Genshin-Image-Hosting/main/",AL$1,"/",GemsImg[[#This Row],[Name]],".png"),GemsImg[[#This Row],[Name]])</f>
        <v>#VALUE!</v>
      </c>
      <c r="AM14" s="2" t="str">
        <f>_xlfn.CONCAT(GemsImg[[#This Row],[Column2]],GemsImg[[#This Row],[Column1]])</f>
        <v>VarunadaLazuriteSilver</v>
      </c>
      <c r="AN14" s="2" t="s">
        <v>773</v>
      </c>
      <c r="AO14" s="2" t="s">
        <v>53</v>
      </c>
      <c r="AZ14" s="2" t="e" vm="222">
        <f>_xlfn.IMAGE(_xlfn.CONCAT("https://raw.githubusercontent.com/ItsCryp7iC/Genshin-Image-Hosting/main/",AZ$1,"/",WeaponsImg[[#This Row],[Name]],".png"),WeaponsImg[[#This Row],[Name]])</f>
        <v>#VALUE!</v>
      </c>
      <c r="BA14" s="2" t="s">
        <v>216</v>
      </c>
      <c r="BC14" s="2" t="e" vm="223">
        <f>_xlfn.IMAGE(_xlfn.CONCAT("https://raw.githubusercontent.com/ItsCryp7iC/Genshin-Image-Hosting/main/",BC$1,"/",WeaponMaterialsImg[[#This Row],[Name]],".png"),WeaponMaterialsImg[[#This Row],[Name]])</f>
        <v>#VALUE!</v>
      </c>
      <c r="BD14" s="2" t="s">
        <v>217</v>
      </c>
    </row>
    <row r="15" spans="1:56" ht="30" customHeight="1" x14ac:dyDescent="0.25">
      <c r="D15" s="4" t="e" vm="224">
        <f>_xlfn.IMAGE(_xlfn.CONCAT("https://raw.githubusercontent.com/ItsCryp7iC/Genshin-Image-Hosting/main/",D$1,"/",CharacterDetailsImg[[#This Row],[Name]],".png"),CharacterDetailsImg[[#This Row],[Name]])</f>
        <v>#VALUE!</v>
      </c>
      <c r="E15" s="2" t="s">
        <v>218</v>
      </c>
      <c r="F15" s="2" t="e" vm="5">
        <f t="shared" si="0"/>
        <v>#VALUE!</v>
      </c>
      <c r="G15" s="2" t="e" vm="28">
        <f>$AW$6</f>
        <v>#VALUE!</v>
      </c>
      <c r="H15" s="13">
        <v>3.7</v>
      </c>
      <c r="I15" s="2" t="e" vm="225">
        <f>$P$25</f>
        <v>#VALUE!</v>
      </c>
      <c r="J15" s="2" t="e" vm="93">
        <f>$T$26</f>
        <v>#VALUE!</v>
      </c>
      <c r="K15" s="2" t="e" vm="226">
        <f>$AF$21</f>
        <v>#VALUE!</v>
      </c>
      <c r="L15" s="2" t="e" vm="75">
        <f>$Z$11</f>
        <v>#VALUE!</v>
      </c>
      <c r="M15" s="2" t="e" vm="227">
        <f>$AI$27</f>
        <v>#VALUE!</v>
      </c>
      <c r="N15" s="5" t="e" vm="34">
        <f>IF(OR(
E15="TravelerAnemo",
E15="TravelerGeo",
E15="TravelerElectro",
E15="TravelerDendro",
E15="TravelerHydro",
E15="TravelerPyro",
E15="TravelerCryo"),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5" s="2" t="e" vm="228">
        <f>_xlfn.IMAGE(_xlfn.CONCAT("https://raw.githubusercontent.com/ItsCryp7iC/Genshin-Image-Hosting/main/",P$1,"/",WorldBossImg[[#This Row],[Name]],".png"),WorldBossImg[[#This Row],[Name]])</f>
        <v>#VALUE!</v>
      </c>
      <c r="Q15" s="2" t="s">
        <v>219</v>
      </c>
      <c r="R15" s="2" t="s">
        <v>220</v>
      </c>
      <c r="T15" s="2" t="e" vm="229">
        <f>_xlfn.IMAGE(_xlfn.CONCAT("https://raw.githubusercontent.com/ItsCryp7iC/Genshin-Image-Hosting/main/",T$1,"/",WeeklyBossImg[[#This Row],[Name]],".png"),WeeklyBossImg[[#This Row],[Name]])</f>
        <v>#VALUE!</v>
      </c>
      <c r="U15" s="2" t="s">
        <v>221</v>
      </c>
      <c r="V15" s="2" t="s">
        <v>241</v>
      </c>
      <c r="X15" s="2" t="s">
        <v>427</v>
      </c>
      <c r="Y15" s="2" t="s">
        <v>440</v>
      </c>
      <c r="Z15" s="2" t="e" vm="230">
        <f>_xlfn.IMAGE(_xlfn.CONCAT("https://raw.githubusercontent.com/ItsCryp7iC/Genshin-Image-Hosting/main/",$X$1,"/",Y$1,"/",MonsterMaterialsImg[[#This Row],[3*Name]],".png"),MonsterMaterialsImg[[#This Row],[3*Name]])</f>
        <v>#VALUE!</v>
      </c>
      <c r="AA15" s="2" t="s">
        <v>434</v>
      </c>
      <c r="AB15" s="2" t="e" vm="231">
        <f>_xlfn.IMAGE(_xlfn.CONCAT("https://raw.githubusercontent.com/ItsCryp7iC/Genshin-Image-Hosting/main/",$X$1,"/",AA$1,"/",MonsterMaterialsImg[[#This Row],[2*Name]],".png"),MonsterMaterialsImg[[#This Row],[2*Name]])</f>
        <v>#VALUE!</v>
      </c>
      <c r="AC15" s="2" t="s">
        <v>428</v>
      </c>
      <c r="AD15" s="2" t="e" vm="232">
        <f>_xlfn.IMAGE(_xlfn.CONCAT("https://raw.githubusercontent.com/ItsCryp7iC/Genshin-Image-Hosting/main/",$X$1,"/",AC$1,"/",MonsterMaterialsImg[[#This Row],[1*Name]],".png"),MonsterMaterialsImg[[#This Row],[1*Name]])</f>
        <v>#VALUE!</v>
      </c>
      <c r="AF15" s="2" t="e" vm="233">
        <f>_xlfn.IMAGE(_xlfn.CONCAT("https://raw.githubusercontent.com/ItsCryp7iC/Genshin-Image-Hosting/main/",AF$1,"/",TalentBooksImg[[#This Row],[Name]],".png"),TalentBooksImg[[#This Row],[Name]])</f>
        <v>#VALUE!</v>
      </c>
      <c r="AG15" s="2" t="s">
        <v>272</v>
      </c>
      <c r="AI15" s="2" t="e" vm="234">
        <f>_xlfn.IMAGE(_xlfn.CONCAT("https://raw.githubusercontent.com/ItsCryp7iC/Genshin-Image-Hosting/main/",AI$1,"/",LocalSpecialtiesImg[[#This Row],[Name]],".png"),LocalSpecialtiesImg[[#This Row],[Name]])</f>
        <v>#VALUE!</v>
      </c>
      <c r="AJ15" s="2" t="s">
        <v>339</v>
      </c>
      <c r="AL15" s="2" t="e" vm="235">
        <f>_xlfn.IMAGE(_xlfn.CONCAT("https://raw.githubusercontent.com/ItsCryp7iC/Genshin-Image-Hosting/main/",AL$1,"/",GemsImg[[#This Row],[Name]],".png"),GemsImg[[#This Row],[Name]])</f>
        <v>#VALUE!</v>
      </c>
      <c r="AM15" s="2" t="str">
        <f>_xlfn.CONCAT(GemsImg[[#This Row],[Column2]],GemsImg[[#This Row],[Column1]])</f>
        <v>NagadusEmeraldGemstone</v>
      </c>
      <c r="AN15" s="2" t="s">
        <v>774</v>
      </c>
      <c r="AO15" s="2" t="s">
        <v>56</v>
      </c>
      <c r="AZ15" s="2" t="e" vm="236">
        <f>_xlfn.IMAGE(_xlfn.CONCAT("https://raw.githubusercontent.com/ItsCryp7iC/Genshin-Image-Hosting/main/",AZ$1,"/",WeaponsImg[[#This Row],[Name]],".png"),WeaponsImg[[#This Row],[Name]])</f>
        <v>#VALUE!</v>
      </c>
      <c r="BA15" s="2" t="s">
        <v>227</v>
      </c>
      <c r="BC15" s="2" t="e" vm="237">
        <f>_xlfn.IMAGE(_xlfn.CONCAT("https://raw.githubusercontent.com/ItsCryp7iC/Genshin-Image-Hosting/main/",BC$1,"/",WeaponMaterialsImg[[#This Row],[Name]],".png"),WeaponMaterialsImg[[#This Row],[Name]])</f>
        <v>#VALUE!</v>
      </c>
      <c r="BD15" s="2" t="s">
        <v>228</v>
      </c>
    </row>
    <row r="16" spans="1:56" ht="30" customHeight="1" x14ac:dyDescent="0.25">
      <c r="D16" s="4" t="e" vm="238">
        <f>_xlfn.IMAGE(_xlfn.CONCAT("https://raw.githubusercontent.com/ItsCryp7iC/Genshin-Image-Hosting/main/",D$1,"/",CharacterDetailsImg[[#This Row],[Name]],".png"),CharacterDetailsImg[[#This Row],[Name]])</f>
        <v>#VALUE!</v>
      </c>
      <c r="E16" s="2" t="s">
        <v>229</v>
      </c>
      <c r="F16" s="2" t="e" vm="5">
        <f t="shared" si="0"/>
        <v>#VALUE!</v>
      </c>
      <c r="G16" s="2" t="e" vm="91">
        <f>$AW$5</f>
        <v>#VALUE!</v>
      </c>
      <c r="H16" s="13">
        <v>2.7</v>
      </c>
      <c r="I16" s="2" t="e" vm="239">
        <f>$P$18</f>
        <v>#VALUE!</v>
      </c>
      <c r="J16" s="2" t="e" vm="240">
        <f>$T$19</f>
        <v>#VALUE!</v>
      </c>
      <c r="K16" s="2" t="e" vm="183">
        <f>$AF$24</f>
        <v>#VALUE!</v>
      </c>
      <c r="L16" s="2" t="e" vm="75">
        <f>$Z$11</f>
        <v>#VALUE!</v>
      </c>
      <c r="M16" s="2" t="e" vm="241">
        <f>$AI$24</f>
        <v>#VALUE!</v>
      </c>
      <c r="N16" s="5" t="e" vm="97">
        <f>IF(OR(
E16="TravelerAnemo",
E16="TravelerGeo",
E16="TravelerElectro",
E16="TravelerDendro",
E16="TravelerHydro",
E16="TravelerPyro",
E16="TravelerCryo"),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6" s="2" t="e" vm="242">
        <f>_xlfn.IMAGE(_xlfn.CONCAT("https://raw.githubusercontent.com/ItsCryp7iC/Genshin-Image-Hosting/main/",P$1,"/",WorldBossImg[[#This Row],[Name]],".png"),WorldBossImg[[#This Row],[Name]])</f>
        <v>#VALUE!</v>
      </c>
      <c r="Q16" s="2" t="s">
        <v>230</v>
      </c>
      <c r="R16" s="2" t="s">
        <v>231</v>
      </c>
      <c r="T16" s="2" t="e" vm="243">
        <f>_xlfn.IMAGE(_xlfn.CONCAT("https://raw.githubusercontent.com/ItsCryp7iC/Genshin-Image-Hosting/main/",T$1,"/",WeeklyBossImg[[#This Row],[Name]],".png"),WeeklyBossImg[[#This Row],[Name]])</f>
        <v>#VALUE!</v>
      </c>
      <c r="U16" s="2" t="s">
        <v>221</v>
      </c>
      <c r="V16" s="2" t="s">
        <v>222</v>
      </c>
      <c r="AF16" s="2" t="e" vm="244">
        <f>_xlfn.IMAGE(_xlfn.CONCAT("https://raw.githubusercontent.com/ItsCryp7iC/Genshin-Image-Hosting/main/",AF$1,"/",TalentBooksImg[[#This Row],[Name]],".png"),TalentBooksImg[[#This Row],[Name]])</f>
        <v>#VALUE!</v>
      </c>
      <c r="AG16" s="2" t="s">
        <v>263</v>
      </c>
      <c r="AI16" s="2" t="e" vm="245">
        <f>_xlfn.IMAGE(_xlfn.CONCAT("https://raw.githubusercontent.com/ItsCryp7iC/Genshin-Image-Hosting/main/",AI$1,"/",LocalSpecialtiesImg[[#This Row],[Name]],".png"),LocalSpecialtiesImg[[#This Row],[Name]])</f>
        <v>#VALUE!</v>
      </c>
      <c r="AJ16" s="2" t="s">
        <v>430</v>
      </c>
      <c r="AL16" s="2" t="e" vm="246">
        <f>_xlfn.IMAGE(_xlfn.CONCAT("https://raw.githubusercontent.com/ItsCryp7iC/Genshin-Image-Hosting/main/",AL$1,"/",GemsImg[[#This Row],[Name]],".png"),GemsImg[[#This Row],[Name]])</f>
        <v>#VALUE!</v>
      </c>
      <c r="AM16" s="2" t="str">
        <f>_xlfn.CONCAT(GemsImg[[#This Row],[Column2]],GemsImg[[#This Row],[Column1]])</f>
        <v>NagadusEmeraldChunk</v>
      </c>
      <c r="AN16" s="2" t="s">
        <v>774</v>
      </c>
      <c r="AO16" s="2" t="s">
        <v>55</v>
      </c>
      <c r="AZ16" s="2" t="e" vm="247">
        <f>_xlfn.IMAGE(_xlfn.CONCAT("https://raw.githubusercontent.com/ItsCryp7iC/Genshin-Image-Hosting/main/",AZ$1,"/",WeaponsImg[[#This Row],[Name]],".png"),WeaponsImg[[#This Row],[Name]])</f>
        <v>#VALUE!</v>
      </c>
      <c r="BA16" s="2" t="s">
        <v>236</v>
      </c>
      <c r="BC16" s="2" t="e" vm="248">
        <f>_xlfn.IMAGE(_xlfn.CONCAT("https://raw.githubusercontent.com/ItsCryp7iC/Genshin-Image-Hosting/main/",BC$1,"/",WeaponMaterialsImg[[#This Row],[Name]],".png"),WeaponMaterialsImg[[#This Row],[Name]])</f>
        <v>#VALUE!</v>
      </c>
      <c r="BD16" s="2" t="s">
        <v>237</v>
      </c>
    </row>
    <row r="17" spans="4:56" ht="30" customHeight="1" x14ac:dyDescent="0.25">
      <c r="D17" s="4" t="e" vm="249">
        <f>_xlfn.IMAGE(_xlfn.CONCAT("https://raw.githubusercontent.com/ItsCryp7iC/Genshin-Image-Hosting/main/",D$1,"/",CharacterDetailsImg[[#This Row],[Name]],".png"),CharacterDetailsImg[[#This Row],[Name]])</f>
        <v>#VALUE!</v>
      </c>
      <c r="E17" s="2" t="s">
        <v>238</v>
      </c>
      <c r="F17" s="2" t="e" vm="5">
        <f t="shared" si="0"/>
        <v>#VALUE!</v>
      </c>
      <c r="G17" s="2" t="e" vm="165">
        <f>$AW$9</f>
        <v>#VALUE!</v>
      </c>
      <c r="H17" s="13">
        <v>3.2</v>
      </c>
      <c r="I17" s="2" t="e" vm="250">
        <f>$P$21</f>
        <v>#VALUE!</v>
      </c>
      <c r="J17" s="3" t="e" vm="30">
        <f>$T$22</f>
        <v>#VALUE!</v>
      </c>
      <c r="K17" s="2" t="e" vm="31">
        <f>$AF$33</f>
        <v>#VALUE!</v>
      </c>
      <c r="L17" s="2" t="e" vm="10">
        <f>$Z$5</f>
        <v>#VALUE!</v>
      </c>
      <c r="M17" s="2" t="e" vm="251">
        <f>$AI$31</f>
        <v>#VALUE!</v>
      </c>
      <c r="N17" s="5" t="e" vm="169">
        <f>IF(OR(
E17="TravelerAnemo",
E17="TravelerGeo",
E17="TravelerElectro",
E17="TravelerDendro",
E17="TravelerHydro",
E17="TravelerPyro",
E17="TravelerCryo"),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7" s="2" t="e" vm="252">
        <f>_xlfn.IMAGE(_xlfn.CONCAT("https://raw.githubusercontent.com/ItsCryp7iC/Genshin-Image-Hosting/main/",P$1,"/",WorldBossImg[[#This Row],[Name]],".png"),WorldBossImg[[#This Row],[Name]])</f>
        <v>#VALUE!</v>
      </c>
      <c r="Q17" s="2" t="s">
        <v>239</v>
      </c>
      <c r="R17" s="2" t="s">
        <v>240</v>
      </c>
      <c r="T17" s="2" t="e" vm="253">
        <f>_xlfn.IMAGE(_xlfn.CONCAT("https://raw.githubusercontent.com/ItsCryp7iC/Genshin-Image-Hosting/main/",T$1,"/",WeeklyBossImg[[#This Row],[Name]],".png"),WeeklyBossImg[[#This Row],[Name]])</f>
        <v>#VALUE!</v>
      </c>
      <c r="U17" s="2" t="s">
        <v>221</v>
      </c>
      <c r="V17" s="2" t="s">
        <v>232</v>
      </c>
      <c r="AF17" s="2" t="e" vm="254">
        <f>_xlfn.IMAGE(_xlfn.CONCAT("https://raw.githubusercontent.com/ItsCryp7iC/Genshin-Image-Hosting/main/",AF$1,"/",TalentBooksImg[[#This Row],[Name]],".png"),TalentBooksImg[[#This Row],[Name]])</f>
        <v>#VALUE!</v>
      </c>
      <c r="AG17" s="2" t="s">
        <v>254</v>
      </c>
      <c r="AI17" s="2" t="e" vm="255">
        <f>_xlfn.IMAGE(_xlfn.CONCAT("https://raw.githubusercontent.com/ItsCryp7iC/Genshin-Image-Hosting/main/",AI$1,"/",LocalSpecialtiesImg[[#This Row],[Name]],".png"),LocalSpecialtiesImg[[#This Row],[Name]])</f>
        <v>#VALUE!</v>
      </c>
      <c r="AJ17" s="2" t="s">
        <v>451</v>
      </c>
      <c r="AL17" s="2" t="e" vm="256">
        <f>_xlfn.IMAGE(_xlfn.CONCAT("https://raw.githubusercontent.com/ItsCryp7iC/Genshin-Image-Hosting/main/",AL$1,"/",GemsImg[[#This Row],[Name]],".png"),GemsImg[[#This Row],[Name]])</f>
        <v>#VALUE!</v>
      </c>
      <c r="AM17" s="2" t="str">
        <f>_xlfn.CONCAT(GemsImg[[#This Row],[Column2]],GemsImg[[#This Row],[Column1]])</f>
        <v>NagadusEmeraldFragment</v>
      </c>
      <c r="AN17" s="2" t="s">
        <v>774</v>
      </c>
      <c r="AO17" s="2" t="s">
        <v>54</v>
      </c>
      <c r="AZ17" s="2" t="e" vm="257">
        <f>_xlfn.IMAGE(_xlfn.CONCAT("https://raw.githubusercontent.com/ItsCryp7iC/Genshin-Image-Hosting/main/",AZ$1,"/",WeaponsImg[[#This Row],[Name]],".png"),WeaponsImg[[#This Row],[Name]])</f>
        <v>#VALUE!</v>
      </c>
      <c r="BA17" s="2" t="s">
        <v>245</v>
      </c>
      <c r="BC17" s="2" t="e" vm="258">
        <f>_xlfn.IMAGE(_xlfn.CONCAT("https://raw.githubusercontent.com/ItsCryp7iC/Genshin-Image-Hosting/main/",BC$1,"/",WeaponMaterialsImg[[#This Row],[Name]],".png"),WeaponMaterialsImg[[#This Row],[Name]])</f>
        <v>#VALUE!</v>
      </c>
      <c r="BD17" s="2" t="s">
        <v>246</v>
      </c>
    </row>
    <row r="18" spans="4:56" ht="30" customHeight="1" x14ac:dyDescent="0.25">
      <c r="D18" s="4" t="e" vm="259">
        <f>_xlfn.IMAGE(_xlfn.CONCAT("https://raw.githubusercontent.com/ItsCryp7iC/Genshin-Image-Hosting/main/",D$1,"/",CharacterDetailsImg[[#This Row],[Name]],".png"),CharacterDetailsImg[[#This Row],[Name]])</f>
        <v>#VALUE!</v>
      </c>
      <c r="E18" s="2" t="s">
        <v>247</v>
      </c>
      <c r="F18" s="2" t="e" vm="5">
        <f t="shared" si="0"/>
        <v>#VALUE!</v>
      </c>
      <c r="G18" s="2" t="e" vm="131">
        <f>$AW$3</f>
        <v>#VALUE!</v>
      </c>
      <c r="H18" s="13">
        <v>4</v>
      </c>
      <c r="I18" s="2" t="e" vm="72">
        <f>$P$26</f>
        <v>#VALUE!</v>
      </c>
      <c r="J18" s="2" t="e" vm="93">
        <f>$T$26</f>
        <v>#VALUE!</v>
      </c>
      <c r="K18" s="2" t="e" vm="260">
        <f>$AF$45</f>
        <v>#VALUE!</v>
      </c>
      <c r="L18" s="2" t="e" vm="261">
        <f>$Z$15</f>
        <v>#VALUE!</v>
      </c>
      <c r="M18" s="2" t="e" vm="262">
        <f>$AI$40</f>
        <v>#VALUE!</v>
      </c>
      <c r="N18" s="5" t="e" vm="135">
        <f>IF(OR(
E18="TravelerAnemo",
E18="TravelerGeo",
E18="TravelerElectro",
E18="TravelerDendro",
E18="TravelerHydro",
E18="TravelerPyro",
E18="TravelerCryo"),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8" s="2" t="e" vm="263">
        <f>_xlfn.IMAGE(_xlfn.CONCAT("https://raw.githubusercontent.com/ItsCryp7iC/Genshin-Image-Hosting/main/",P$1,"/",WorldBossImg[[#This Row],[Name]],".png"),WorldBossImg[[#This Row],[Name]])</f>
        <v>#VALUE!</v>
      </c>
      <c r="Q18" s="2" t="s">
        <v>248</v>
      </c>
      <c r="R18" s="2" t="s">
        <v>249</v>
      </c>
      <c r="T18" s="2" t="e" vm="264">
        <f>_xlfn.IMAGE(_xlfn.CONCAT("https://raw.githubusercontent.com/ItsCryp7iC/Genshin-Image-Hosting/main/",T$1,"/",WeeklyBossImg[[#This Row],[Name]],".png"),WeeklyBossImg[[#This Row],[Name]])</f>
        <v>#VALUE!</v>
      </c>
      <c r="U18" s="2" t="s">
        <v>250</v>
      </c>
      <c r="V18" s="2" t="s">
        <v>251</v>
      </c>
      <c r="AF18" s="2" t="e" vm="265">
        <f>_xlfn.IMAGE(_xlfn.CONCAT("https://raw.githubusercontent.com/ItsCryp7iC/Genshin-Image-Hosting/main/",AF$1,"/",TalentBooksImg[[#This Row],[Name]],".png"),TalentBooksImg[[#This Row],[Name]])</f>
        <v>#VALUE!</v>
      </c>
      <c r="AG18" s="2" t="s">
        <v>214</v>
      </c>
      <c r="AI18" s="2" t="e" vm="266">
        <f>_xlfn.IMAGE(_xlfn.CONCAT("https://raw.githubusercontent.com/ItsCryp7iC/Genshin-Image-Hosting/main/",AI$1,"/",LocalSpecialtiesImg[[#This Row],[Name]],".png"),LocalSpecialtiesImg[[#This Row],[Name]])</f>
        <v>#VALUE!</v>
      </c>
      <c r="AJ18" s="2" t="s">
        <v>153</v>
      </c>
      <c r="AL18" s="2" t="e" vm="267">
        <f>_xlfn.IMAGE(_xlfn.CONCAT("https://raw.githubusercontent.com/ItsCryp7iC/Genshin-Image-Hosting/main/",AL$1,"/",GemsImg[[#This Row],[Name]],".png"),GemsImg[[#This Row],[Name]])</f>
        <v>#VALUE!</v>
      </c>
      <c r="AM18" s="2" t="str">
        <f>_xlfn.CONCAT(GemsImg[[#This Row],[Column2]],GemsImg[[#This Row],[Column1]])</f>
        <v>NagadusEmeraldSilver</v>
      </c>
      <c r="AN18" s="2" t="s">
        <v>774</v>
      </c>
      <c r="AO18" s="2" t="s">
        <v>53</v>
      </c>
      <c r="AZ18" s="2" t="e" vm="268">
        <f>_xlfn.IMAGE(_xlfn.CONCAT("https://raw.githubusercontent.com/ItsCryp7iC/Genshin-Image-Hosting/main/",AZ$1,"/",WeaponsImg[[#This Row],[Name]],".png"),WeaponsImg[[#This Row],[Name]])</f>
        <v>#VALUE!</v>
      </c>
      <c r="BA18" s="2" t="s">
        <v>256</v>
      </c>
      <c r="BC18" s="2" t="e" vm="269">
        <f>_xlfn.IMAGE(_xlfn.CONCAT("https://raw.githubusercontent.com/ItsCryp7iC/Genshin-Image-Hosting/main/",BC$1,"/",WeaponMaterialsImg[[#This Row],[Name]],".png"),WeaponMaterialsImg[[#This Row],[Name]])</f>
        <v>#VALUE!</v>
      </c>
      <c r="BD18" s="2" t="s">
        <v>257</v>
      </c>
    </row>
    <row r="19" spans="4:56" ht="30" customHeight="1" x14ac:dyDescent="0.25">
      <c r="D19" s="4" t="e" vm="270">
        <f>_xlfn.IMAGE(_xlfn.CONCAT("https://raw.githubusercontent.com/ItsCryp7iC/Genshin-Image-Hosting/main/",D$1,"/",CharacterDetailsImg[[#This Row],[Name]],".png"),CharacterDetailsImg[[#This Row],[Name]])</f>
        <v>#VALUE!</v>
      </c>
      <c r="E19" s="2" t="s">
        <v>258</v>
      </c>
      <c r="F19" s="2" t="e" vm="5">
        <f t="shared" si="0"/>
        <v>#VALUE!</v>
      </c>
      <c r="G19" s="2" t="e" vm="112">
        <f>$AW$7</f>
        <v>#VALUE!</v>
      </c>
      <c r="H19" s="13">
        <v>3.1</v>
      </c>
      <c r="I19" s="2" t="e" vm="250">
        <f>$P$21</f>
        <v>#VALUE!</v>
      </c>
      <c r="J19" s="2" t="e" vm="240">
        <f>$T$19</f>
        <v>#VALUE!</v>
      </c>
      <c r="K19" s="2" t="e" vm="271">
        <f>$AF$36</f>
        <v>#VALUE!</v>
      </c>
      <c r="L19" s="2" t="e" vm="272">
        <f>$Z$12</f>
        <v>#VALUE!</v>
      </c>
      <c r="M19" s="2" t="e" vm="273">
        <f>$AI$30</f>
        <v>#VALUE!</v>
      </c>
      <c r="N19" s="5" t="e" vm="117">
        <f>IF(OR(
E19="TravelerAnemo",
E19="TravelerGeo",
E19="TravelerElectro",
E19="TravelerDendro",
E19="TravelerHydro",
E19="TravelerPyro",
E19="TravelerCryo"),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9" s="2" t="e" vm="274">
        <f>_xlfn.IMAGE(_xlfn.CONCAT("https://raw.githubusercontent.com/ItsCryp7iC/Genshin-Image-Hosting/main/",P$1,"/",WorldBossImg[[#This Row],[Name]],".png"),WorldBossImg[[#This Row],[Name]])</f>
        <v>#VALUE!</v>
      </c>
      <c r="Q19" s="2" t="s">
        <v>268</v>
      </c>
      <c r="R19" s="2" t="s">
        <v>269</v>
      </c>
      <c r="T19" s="2" t="e" vm="275">
        <f>_xlfn.IMAGE(_xlfn.CONCAT("https://raw.githubusercontent.com/ItsCryp7iC/Genshin-Image-Hosting/main/",T$1,"/",WeeklyBossImg[[#This Row],[Name]],".png"),WeeklyBossImg[[#This Row],[Name]])</f>
        <v>#VALUE!</v>
      </c>
      <c r="U19" s="2" t="s">
        <v>250</v>
      </c>
      <c r="V19" s="2" t="s">
        <v>270</v>
      </c>
      <c r="AF19" s="2" t="e" vm="276">
        <f>_xlfn.IMAGE(_xlfn.CONCAT("https://raw.githubusercontent.com/ItsCryp7iC/Genshin-Image-Hosting/main/",AF$1,"/",TalentBooksImg[[#This Row],[Name]],".png"),TalentBooksImg[[#This Row],[Name]])</f>
        <v>#VALUE!</v>
      </c>
      <c r="AG19" s="2" t="s">
        <v>205</v>
      </c>
      <c r="AI19" s="2" t="e" vm="277">
        <f>_xlfn.IMAGE(_xlfn.CONCAT("https://raw.githubusercontent.com/ItsCryp7iC/Genshin-Image-Hosting/main/",AI$1,"/",LocalSpecialtiesImg[[#This Row],[Name]],".png"),LocalSpecialtiesImg[[#This Row],[Name]])</f>
        <v>#VALUE!</v>
      </c>
      <c r="AJ19" s="2" t="s">
        <v>141</v>
      </c>
      <c r="AL19" s="2" t="e" vm="278">
        <f>_xlfn.IMAGE(_xlfn.CONCAT("https://raw.githubusercontent.com/ItsCryp7iC/Genshin-Image-Hosting/main/",AL$1,"/",GemsImg[[#This Row],[Name]],".png"),GemsImg[[#This Row],[Name]])</f>
        <v>#VALUE!</v>
      </c>
      <c r="AM19" s="2" t="str">
        <f>_xlfn.CONCAT(GemsImg[[#This Row],[Column2]],GemsImg[[#This Row],[Column1]])</f>
        <v>VajradaAmethystGemstone</v>
      </c>
      <c r="AN19" s="2" t="s">
        <v>775</v>
      </c>
      <c r="AO19" s="2" t="s">
        <v>56</v>
      </c>
      <c r="AZ19" s="2" t="e" vm="279">
        <f>_xlfn.IMAGE(_xlfn.CONCAT("https://raw.githubusercontent.com/ItsCryp7iC/Genshin-Image-Hosting/main/",AZ$1,"/",WeaponsImg[[#This Row],[Name]],".png"),WeaponsImg[[#This Row],[Name]])</f>
        <v>#VALUE!</v>
      </c>
      <c r="BA19" s="2" t="s">
        <v>265</v>
      </c>
      <c r="BC19" s="2" t="e" vm="280">
        <f>_xlfn.IMAGE(_xlfn.CONCAT("https://raw.githubusercontent.com/ItsCryp7iC/Genshin-Image-Hosting/main/",BC$1,"/",WeaponMaterialsImg[[#This Row],[Name]],".png"),WeaponMaterialsImg[[#This Row],[Name]])</f>
        <v>#VALUE!</v>
      </c>
      <c r="BD19" s="2" t="s">
        <v>266</v>
      </c>
    </row>
    <row r="20" spans="4:56" ht="30" customHeight="1" x14ac:dyDescent="0.25">
      <c r="D20" s="4" t="e" vm="281">
        <f>_xlfn.IMAGE(_xlfn.CONCAT("https://raw.githubusercontent.com/ItsCryp7iC/Genshin-Image-Hosting/main/",D$1,"/",CharacterDetailsImg[[#This Row],[Name]],".png"),CharacterDetailsImg[[#This Row],[Name]])</f>
        <v>#VALUE!</v>
      </c>
      <c r="E20" s="2" t="s">
        <v>267</v>
      </c>
      <c r="F20" s="2" t="e" vm="5">
        <f t="shared" si="0"/>
        <v>#VALUE!</v>
      </c>
      <c r="G20" s="2" t="e" vm="165">
        <f>$AW$9</f>
        <v>#VALUE!</v>
      </c>
      <c r="H20" s="13">
        <v>1</v>
      </c>
      <c r="I20" s="2" t="e" vm="166">
        <f>$P$5</f>
        <v>#VALUE!</v>
      </c>
      <c r="J20" s="2" t="e" vm="282">
        <f>$T$6</f>
        <v>#VALUE!</v>
      </c>
      <c r="K20" s="2" t="e" vm="212">
        <f>$AF$12</f>
        <v>#VALUE!</v>
      </c>
      <c r="L20" s="2" t="e" vm="10">
        <f>$Z$5</f>
        <v>#VALUE!</v>
      </c>
      <c r="M20" s="2" t="e" vm="283">
        <f>$AI$17</f>
        <v>#VALUE!</v>
      </c>
      <c r="N20" s="5" t="e" vm="169">
        <f>IF(OR(
E20="TravelerAnemo",
E20="TravelerGeo",
E20="TravelerElectro",
E20="TravelerDendro",
E20="TravelerHydro",
E20="TravelerPyro",
E20="TravelerCryo"),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0" s="2" t="e" vm="284">
        <f>_xlfn.IMAGE(_xlfn.CONCAT("https://raw.githubusercontent.com/ItsCryp7iC/Genshin-Image-Hosting/main/",P$1,"/",WorldBossImg[[#This Row],[Name]],".png"),WorldBossImg[[#This Row],[Name]])</f>
        <v>#VALUE!</v>
      </c>
      <c r="Q20" s="2" t="s">
        <v>259</v>
      </c>
      <c r="R20" s="2" t="s">
        <v>260</v>
      </c>
      <c r="T20" s="2" t="e" vm="285">
        <f>_xlfn.IMAGE(_xlfn.CONCAT("https://raw.githubusercontent.com/ItsCryp7iC/Genshin-Image-Hosting/main/",T$1,"/",WeeklyBossImg[[#This Row],[Name]],".png"),WeeklyBossImg[[#This Row],[Name]])</f>
        <v>#VALUE!</v>
      </c>
      <c r="U20" s="2" t="s">
        <v>250</v>
      </c>
      <c r="V20" s="2" t="s">
        <v>261</v>
      </c>
      <c r="AF20" s="2" t="e" vm="286">
        <f>_xlfn.IMAGE(_xlfn.CONCAT("https://raw.githubusercontent.com/ItsCryp7iC/Genshin-Image-Hosting/main/",AF$1,"/",TalentBooksImg[[#This Row],[Name]],".png"),TalentBooksImg[[#This Row],[Name]])</f>
        <v>#VALUE!</v>
      </c>
      <c r="AG20" s="2" t="s">
        <v>196</v>
      </c>
      <c r="AI20" s="2" t="e" vm="287">
        <f>_xlfn.IMAGE(_xlfn.CONCAT("https://raw.githubusercontent.com/ItsCryp7iC/Genshin-Image-Hosting/main/",AI$1,"/",LocalSpecialtiesImg[[#This Row],[Name]],".png"),LocalSpecialtiesImg[[#This Row],[Name]])</f>
        <v>#VALUE!</v>
      </c>
      <c r="AJ20" s="2" t="s">
        <v>312</v>
      </c>
      <c r="AL20" s="2" t="e" vm="288">
        <f>_xlfn.IMAGE(_xlfn.CONCAT("https://raw.githubusercontent.com/ItsCryp7iC/Genshin-Image-Hosting/main/",AL$1,"/",GemsImg[[#This Row],[Name]],".png"),GemsImg[[#This Row],[Name]])</f>
        <v>#VALUE!</v>
      </c>
      <c r="AM20" s="2" t="str">
        <f>_xlfn.CONCAT(GemsImg[[#This Row],[Column2]],GemsImg[[#This Row],[Column1]])</f>
        <v>VajradaAmethystChunk</v>
      </c>
      <c r="AN20" s="2" t="s">
        <v>775</v>
      </c>
      <c r="AO20" s="2" t="s">
        <v>55</v>
      </c>
      <c r="AZ20" s="2" t="e" vm="289">
        <f>_xlfn.IMAGE(_xlfn.CONCAT("https://raw.githubusercontent.com/ItsCryp7iC/Genshin-Image-Hosting/main/",AZ$1,"/",WeaponsImg[[#This Row],[Name]],".png"),WeaponsImg[[#This Row],[Name]])</f>
        <v>#VALUE!</v>
      </c>
      <c r="BA20" s="2" t="s">
        <v>274</v>
      </c>
      <c r="BC20" s="2" t="e" vm="290">
        <f>_xlfn.IMAGE(_xlfn.CONCAT("https://raw.githubusercontent.com/ItsCryp7iC/Genshin-Image-Hosting/main/",BC$1,"/",WeaponMaterialsImg[[#This Row],[Name]],".png"),WeaponMaterialsImg[[#This Row],[Name]])</f>
        <v>#VALUE!</v>
      </c>
      <c r="BD20" s="2" t="s">
        <v>275</v>
      </c>
    </row>
    <row r="21" spans="4:56" ht="30" customHeight="1" x14ac:dyDescent="0.25">
      <c r="D21" s="4" t="e" vm="291">
        <f>_xlfn.IMAGE(_xlfn.CONCAT("https://raw.githubusercontent.com/ItsCryp7iC/Genshin-Image-Hosting/main/",D$1,"/",CharacterDetailsImg[[#This Row],[Name]],".png"),CharacterDetailsImg[[#This Row],[Name]])</f>
        <v>#VALUE!</v>
      </c>
      <c r="E21" s="2" t="s">
        <v>276</v>
      </c>
      <c r="F21" s="2" t="e" vm="5">
        <f t="shared" si="0"/>
        <v>#VALUE!</v>
      </c>
      <c r="G21" s="2" t="e" vm="131">
        <f>$AW$3</f>
        <v>#VALUE!</v>
      </c>
      <c r="H21" s="13">
        <v>1</v>
      </c>
      <c r="J21" s="2" t="e" vm="292">
        <f>$T$5</f>
        <v>#VALUE!</v>
      </c>
      <c r="L21" s="2" t="e" vm="10">
        <f>$Z$5</f>
        <v>#VALUE!</v>
      </c>
      <c r="M21" s="2" t="e" vm="55">
        <f>$AI$6</f>
        <v>#VALUE!</v>
      </c>
      <c r="N21" s="5" t="e" vm="293">
        <f>IF(OR(
E21="TravelerAnemo",
E21="TravelerGeo",
E21="TravelerElectro",
E21="TravelerDendro",
E21="TravelerHydro",
E21="TravelerPyro",
E21="TravelerCryo"),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1" s="2" t="e" vm="294">
        <f>_xlfn.IMAGE(_xlfn.CONCAT("https://raw.githubusercontent.com/ItsCryp7iC/Genshin-Image-Hosting/main/",P$1,"/",WorldBossImg[[#This Row],[Name]],".png"),WorldBossImg[[#This Row],[Name]])</f>
        <v>#VALUE!</v>
      </c>
      <c r="Q21" s="2" t="s">
        <v>277</v>
      </c>
      <c r="R21" s="2" t="s">
        <v>278</v>
      </c>
      <c r="T21" s="2" t="e" vm="295">
        <f>_xlfn.IMAGE(_xlfn.CONCAT("https://raw.githubusercontent.com/ItsCryp7iC/Genshin-Image-Hosting/main/",T$1,"/",WeeklyBossImg[[#This Row],[Name]],".png"),WeeklyBossImg[[#This Row],[Name]])</f>
        <v>#VALUE!</v>
      </c>
      <c r="U21" s="2" t="s">
        <v>38</v>
      </c>
      <c r="V21" s="2" t="s">
        <v>279</v>
      </c>
      <c r="AF21" s="2" t="e" vm="296">
        <f>_xlfn.IMAGE(_xlfn.CONCAT("https://raw.githubusercontent.com/ItsCryp7iC/Genshin-Image-Hosting/main/",AF$1,"/",TalentBooksImg[[#This Row],[Name]],".png"),TalentBooksImg[[#This Row],[Name]])</f>
        <v>#VALUE!</v>
      </c>
      <c r="AG21" s="2" t="s">
        <v>300</v>
      </c>
      <c r="AI21" s="2" t="e" vm="297">
        <f>_xlfn.IMAGE(_xlfn.CONCAT("https://raw.githubusercontent.com/ItsCryp7iC/Genshin-Image-Hosting/main/",AI$1,"/",LocalSpecialtiesImg[[#This Row],[Name]],".png"),LocalSpecialtiesImg[[#This Row],[Name]])</f>
        <v>#VALUE!</v>
      </c>
      <c r="AJ21" s="2" t="s">
        <v>377</v>
      </c>
      <c r="AL21" s="2" t="e" vm="298">
        <f>_xlfn.IMAGE(_xlfn.CONCAT("https://raw.githubusercontent.com/ItsCryp7iC/Genshin-Image-Hosting/main/",AL$1,"/",GemsImg[[#This Row],[Name]],".png"),GemsImg[[#This Row],[Name]])</f>
        <v>#VALUE!</v>
      </c>
      <c r="AM21" s="2" t="str">
        <f>_xlfn.CONCAT(GemsImg[[#This Row],[Column2]],GemsImg[[#This Row],[Column1]])</f>
        <v>VajradaAmethystFragment</v>
      </c>
      <c r="AN21" s="2" t="s">
        <v>775</v>
      </c>
      <c r="AO21" s="2" t="s">
        <v>54</v>
      </c>
      <c r="AZ21" s="2" t="e" vm="299">
        <f>_xlfn.IMAGE(_xlfn.CONCAT("https://raw.githubusercontent.com/ItsCryp7iC/Genshin-Image-Hosting/main/",AZ$1,"/",WeaponsImg[[#This Row],[Name]],".png"),WeaponsImg[[#This Row],[Name]])</f>
        <v>#VALUE!</v>
      </c>
      <c r="BA21" s="2" t="s">
        <v>284</v>
      </c>
      <c r="BC21" s="2" t="e" vm="300">
        <f>_xlfn.IMAGE(_xlfn.CONCAT("https://raw.githubusercontent.com/ItsCryp7iC/Genshin-Image-Hosting/main/",BC$1,"/",WeaponMaterialsImg[[#This Row],[Name]],".png"),WeaponMaterialsImg[[#This Row],[Name]])</f>
        <v>#VALUE!</v>
      </c>
      <c r="BD21" s="2" t="s">
        <v>285</v>
      </c>
    </row>
    <row r="22" spans="4:56" ht="30" customHeight="1" x14ac:dyDescent="0.25">
      <c r="D22" s="4" t="e" vm="301">
        <f>_xlfn.IMAGE(_xlfn.CONCAT("https://raw.githubusercontent.com/ItsCryp7iC/Genshin-Image-Hosting/main/",D$1,"/",CharacterDetailsImg[[#This Row],[Name]],".png"),CharacterDetailsImg[[#This Row],[Name]])</f>
        <v>#VALUE!</v>
      </c>
      <c r="E22" s="2" t="s">
        <v>286</v>
      </c>
      <c r="F22" s="2" t="e" vm="5">
        <f t="shared" si="0"/>
        <v>#VALUE!</v>
      </c>
      <c r="G22" s="2" t="e" vm="6">
        <f>$AW$4</f>
        <v>#VALUE!</v>
      </c>
      <c r="H22" s="13">
        <v>1.1000000000000001</v>
      </c>
      <c r="J22" s="2" t="e" vm="282">
        <f>$T$6</f>
        <v>#VALUE!</v>
      </c>
      <c r="L22" s="2" t="e" vm="302">
        <f>$Z$6</f>
        <v>#VALUE!</v>
      </c>
      <c r="M22" s="2" t="e" vm="55">
        <f>$AI$6</f>
        <v>#VALUE!</v>
      </c>
      <c r="N22" s="5" t="e" vm="293">
        <f>IF(OR(
E22="TravelerAnemo",
E22="TravelerGeo",
E22="TravelerElectro",
E22="TravelerDendro",
E22="TravelerHydro",
E22="TravelerPyro",
E22="TravelerCryo"),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2" s="2" t="e" vm="303">
        <f>_xlfn.IMAGE(_xlfn.CONCAT("https://raw.githubusercontent.com/ItsCryp7iC/Genshin-Image-Hosting/main/",P$1,"/",WorldBossImg[[#This Row],[Name]],".png"),WorldBossImg[[#This Row],[Name]])</f>
        <v>#VALUE!</v>
      </c>
      <c r="Q22" s="2" t="s">
        <v>287</v>
      </c>
      <c r="R22" s="2" t="s">
        <v>288</v>
      </c>
      <c r="T22" s="2" t="e" vm="304">
        <f>_xlfn.IMAGE(_xlfn.CONCAT("https://raw.githubusercontent.com/ItsCryp7iC/Genshin-Image-Hosting/main/",T$1,"/",WeeklyBossImg[[#This Row],[Name]],".png"),WeeklyBossImg[[#This Row],[Name]])</f>
        <v>#VALUE!</v>
      </c>
      <c r="U22" s="2" t="s">
        <v>38</v>
      </c>
      <c r="V22" s="2" t="s">
        <v>298</v>
      </c>
      <c r="AF22" s="2" t="e" vm="305">
        <f>_xlfn.IMAGE(_xlfn.CONCAT("https://raw.githubusercontent.com/ItsCryp7iC/Genshin-Image-Hosting/main/",AF$1,"/",TalentBooksImg[[#This Row],[Name]],".png"),TalentBooksImg[[#This Row],[Name]])</f>
        <v>#VALUE!</v>
      </c>
      <c r="AG22" s="2" t="s">
        <v>291</v>
      </c>
      <c r="AI22" s="2" t="e" vm="306">
        <f>_xlfn.IMAGE(_xlfn.CONCAT("https://raw.githubusercontent.com/ItsCryp7iC/Genshin-Image-Hosting/main/",AI$1,"/",LocalSpecialtiesImg[[#This Row],[Name]],".png"),LocalSpecialtiesImg[[#This Row],[Name]])</f>
        <v>#VALUE!</v>
      </c>
      <c r="AJ22" s="2" t="s">
        <v>166</v>
      </c>
      <c r="AL22" s="2" t="e" vm="307">
        <f>_xlfn.IMAGE(_xlfn.CONCAT("https://raw.githubusercontent.com/ItsCryp7iC/Genshin-Image-Hosting/main/",AL$1,"/",GemsImg[[#This Row],[Name]],".png"),GemsImg[[#This Row],[Name]])</f>
        <v>#VALUE!</v>
      </c>
      <c r="AM22" s="2" t="str">
        <f>_xlfn.CONCAT(GemsImg[[#This Row],[Column2]],GemsImg[[#This Row],[Column1]])</f>
        <v>VajradaAmethystSilver</v>
      </c>
      <c r="AN22" s="2" t="s">
        <v>775</v>
      </c>
      <c r="AO22" s="2" t="s">
        <v>53</v>
      </c>
      <c r="AZ22" s="2" t="e" vm="308">
        <f>_xlfn.IMAGE(_xlfn.CONCAT("https://raw.githubusercontent.com/ItsCryp7iC/Genshin-Image-Hosting/main/",AZ$1,"/",WeaponsImg[[#This Row],[Name]],".png"),WeaponsImg[[#This Row],[Name]])</f>
        <v>#VALUE!</v>
      </c>
      <c r="BA22" s="2" t="s">
        <v>293</v>
      </c>
      <c r="BC22" s="2" t="e" vm="309">
        <f>_xlfn.IMAGE(_xlfn.CONCAT("https://raw.githubusercontent.com/ItsCryp7iC/Genshin-Image-Hosting/main/",BC$1,"/",WeaponMaterialsImg[[#This Row],[Name]],".png"),WeaponMaterialsImg[[#This Row],[Name]])</f>
        <v>#VALUE!</v>
      </c>
      <c r="BD22" s="2" t="s">
        <v>294</v>
      </c>
    </row>
    <row r="23" spans="4:56" ht="30" customHeight="1" x14ac:dyDescent="0.25">
      <c r="D23" s="4" t="e" vm="310">
        <f>_xlfn.IMAGE(_xlfn.CONCAT("https://raw.githubusercontent.com/ItsCryp7iC/Genshin-Image-Hosting/main/",D$1,"/",CharacterDetailsImg[[#This Row],[Name]],".png"),CharacterDetailsImg[[#This Row],[Name]])</f>
        <v>#VALUE!</v>
      </c>
      <c r="E23" s="2" t="s">
        <v>295</v>
      </c>
      <c r="F23" s="2" t="e" vm="5">
        <f t="shared" si="0"/>
        <v>#VALUE!</v>
      </c>
      <c r="G23" s="2" t="e" vm="91">
        <f>$AW$5</f>
        <v>#VALUE!</v>
      </c>
      <c r="H23" s="13">
        <v>2</v>
      </c>
      <c r="J23" s="2" t="e" vm="311">
        <f>$T$12</f>
        <v>#VALUE!</v>
      </c>
      <c r="L23" s="2" t="e" vm="184">
        <f>$Z$10</f>
        <v>#VALUE!</v>
      </c>
      <c r="M23" s="2" t="e" vm="55">
        <f>$AI$6</f>
        <v>#VALUE!</v>
      </c>
      <c r="N23" s="5" t="e" vm="293">
        <f>IF(OR(
E23="TravelerAnemo",
E23="TravelerGeo",
E23="TravelerElectro",
E23="TravelerDendro",
E23="TravelerHydro",
E23="TravelerPyro",
E23="TravelerCryo"),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3" s="2" t="e" vm="312">
        <f>_xlfn.IMAGE(_xlfn.CONCAT("https://raw.githubusercontent.com/ItsCryp7iC/Genshin-Image-Hosting/main/",P$1,"/",WorldBossImg[[#This Row],[Name]],".png"),WorldBossImg[[#This Row],[Name]])</f>
        <v>#VALUE!</v>
      </c>
      <c r="Q23" s="2" t="s">
        <v>296</v>
      </c>
      <c r="R23" s="2" t="s">
        <v>297</v>
      </c>
      <c r="T23" s="2" t="e" vm="313">
        <f>_xlfn.IMAGE(_xlfn.CONCAT("https://raw.githubusercontent.com/ItsCryp7iC/Genshin-Image-Hosting/main/",T$1,"/",WeeklyBossImg[[#This Row],[Name]],".png"),WeeklyBossImg[[#This Row],[Name]])</f>
        <v>#VALUE!</v>
      </c>
      <c r="U23" s="2" t="s">
        <v>38</v>
      </c>
      <c r="V23" s="2" t="s">
        <v>289</v>
      </c>
      <c r="AF23" s="2" t="e" vm="314">
        <f>_xlfn.IMAGE(_xlfn.CONCAT("https://raw.githubusercontent.com/ItsCryp7iC/Genshin-Image-Hosting/main/",AF$1,"/",TalentBooksImg[[#This Row],[Name]],".png"),TalentBooksImg[[#This Row],[Name]])</f>
        <v>#VALUE!</v>
      </c>
      <c r="AG23" s="2" t="s">
        <v>282</v>
      </c>
      <c r="AI23" s="2" t="e" vm="315">
        <f>_xlfn.IMAGE(_xlfn.CONCAT("https://raw.githubusercontent.com/ItsCryp7iC/Genshin-Image-Hosting/main/",AI$1,"/",LocalSpecialtiesImg[[#This Row],[Name]],".png"),LocalSpecialtiesImg[[#This Row],[Name]])</f>
        <v>#VALUE!</v>
      </c>
      <c r="AJ23" s="2" t="s">
        <v>186</v>
      </c>
      <c r="AL23" s="2" t="e" vm="316">
        <f>_xlfn.IMAGE(_xlfn.CONCAT("https://raw.githubusercontent.com/ItsCryp7iC/Genshin-Image-Hosting/main/",AL$1,"/",GemsImg[[#This Row],[Name]],".png"),GemsImg[[#This Row],[Name]])</f>
        <v>#VALUE!</v>
      </c>
      <c r="AM23" s="2" t="str">
        <f>_xlfn.CONCAT(GemsImg[[#This Row],[Column2]],GemsImg[[#This Row],[Column1]])</f>
        <v>VayudaTurquoiseGemstone</v>
      </c>
      <c r="AN23" s="2" t="s">
        <v>776</v>
      </c>
      <c r="AO23" s="2" t="s">
        <v>56</v>
      </c>
      <c r="AZ23" s="2" t="e" vm="317">
        <f>_xlfn.IMAGE(_xlfn.CONCAT("https://raw.githubusercontent.com/ItsCryp7iC/Genshin-Image-Hosting/main/",AZ$1,"/",WeaponsImg[[#This Row],[Name]],".png"),WeaponsImg[[#This Row],[Name]])</f>
        <v>#VALUE!</v>
      </c>
      <c r="BA23" s="2" t="s">
        <v>302</v>
      </c>
      <c r="BC23" s="2" t="e" vm="318">
        <f>_xlfn.IMAGE(_xlfn.CONCAT("https://raw.githubusercontent.com/ItsCryp7iC/Genshin-Image-Hosting/main/",BC$1,"/",WeaponMaterialsImg[[#This Row],[Name]],".png"),WeaponMaterialsImg[[#This Row],[Name]])</f>
        <v>#VALUE!</v>
      </c>
      <c r="BD23" s="2" t="s">
        <v>303</v>
      </c>
    </row>
    <row r="24" spans="4:56" ht="30" customHeight="1" x14ac:dyDescent="0.25">
      <c r="D24" s="4" t="e" vm="319">
        <f>_xlfn.IMAGE(_xlfn.CONCAT("https://raw.githubusercontent.com/ItsCryp7iC/Genshin-Image-Hosting/main/",D$1,"/",CharacterDetailsImg[[#This Row],[Name]],".png"),CharacterDetailsImg[[#This Row],[Name]])</f>
        <v>#VALUE!</v>
      </c>
      <c r="E24" s="2" t="s">
        <v>304</v>
      </c>
      <c r="F24" s="2" t="e" vm="5">
        <f t="shared" si="0"/>
        <v>#VALUE!</v>
      </c>
      <c r="G24" s="2" t="e" vm="28">
        <f>$AW$6</f>
        <v>#VALUE!</v>
      </c>
      <c r="H24" s="13">
        <v>3</v>
      </c>
      <c r="J24" s="2" t="e" vm="198">
        <f>$T$18</f>
        <v>#VALUE!</v>
      </c>
      <c r="L24" s="2" t="e" vm="272">
        <f>$Z$12</f>
        <v>#VALUE!</v>
      </c>
      <c r="M24" s="2" t="e" vm="55">
        <f>$AI$6</f>
        <v>#VALUE!</v>
      </c>
      <c r="N24" s="5" t="e" vm="293">
        <f>IF(OR(
E24="TravelerAnemo",
E24="TravelerGeo",
E24="TravelerElectro",
E24="TravelerDendro",
E24="TravelerHydro",
E24="TravelerPyro",
E24="TravelerCryo"),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4" s="2" t="e" vm="320">
        <f>_xlfn.IMAGE(_xlfn.CONCAT("https://raw.githubusercontent.com/ItsCryp7iC/Genshin-Image-Hosting/main/",P$1,"/",WorldBossImg[[#This Row],[Name]],".png"),WorldBossImg[[#This Row],[Name]])</f>
        <v>#VALUE!</v>
      </c>
      <c r="Q24" s="2" t="s">
        <v>305</v>
      </c>
      <c r="R24" s="2" t="s">
        <v>306</v>
      </c>
      <c r="T24" s="2" t="e" vm="321">
        <f>_xlfn.IMAGE(_xlfn.CONCAT("https://raw.githubusercontent.com/ItsCryp7iC/Genshin-Image-Hosting/main/",T$1,"/",WeeklyBossImg[[#This Row],[Name]],".png"),WeeklyBossImg[[#This Row],[Name]])</f>
        <v>#VALUE!</v>
      </c>
      <c r="U24" s="2" t="s">
        <v>307</v>
      </c>
      <c r="V24" s="2" t="s">
        <v>326</v>
      </c>
      <c r="AF24" s="2" t="e" vm="322">
        <f>_xlfn.IMAGE(_xlfn.CONCAT("https://raw.githubusercontent.com/ItsCryp7iC/Genshin-Image-Hosting/main/",AF$1,"/",TalentBooksImg[[#This Row],[Name]],".png"),TalentBooksImg[[#This Row],[Name]])</f>
        <v>#VALUE!</v>
      </c>
      <c r="AG24" s="19" t="s">
        <v>356</v>
      </c>
      <c r="AI24" s="2" t="e" vm="323">
        <f>_xlfn.IMAGE(_xlfn.CONCAT("https://raw.githubusercontent.com/ItsCryp7iC/Genshin-Image-Hosting/main/",AI$1,"/",LocalSpecialtiesImg[[#This Row],[Name]],".png"),LocalSpecialtiesImg[[#This Row],[Name]])</f>
        <v>#VALUE!</v>
      </c>
      <c r="AJ24" s="2" t="s">
        <v>283</v>
      </c>
      <c r="AL24" s="2" t="e" vm="324">
        <f>_xlfn.IMAGE(_xlfn.CONCAT("https://raw.githubusercontent.com/ItsCryp7iC/Genshin-Image-Hosting/main/",AL$1,"/",GemsImg[[#This Row],[Name]],".png"),GemsImg[[#This Row],[Name]])</f>
        <v>#VALUE!</v>
      </c>
      <c r="AM24" s="2" t="str">
        <f>_xlfn.CONCAT(GemsImg[[#This Row],[Column2]],GemsImg[[#This Row],[Column1]])</f>
        <v>VayudaTurquoiseChunk</v>
      </c>
      <c r="AN24" s="2" t="s">
        <v>776</v>
      </c>
      <c r="AO24" s="2" t="s">
        <v>55</v>
      </c>
      <c r="AZ24" s="2" t="e" vm="325">
        <f>_xlfn.IMAGE(_xlfn.CONCAT("https://raw.githubusercontent.com/ItsCryp7iC/Genshin-Image-Hosting/main/",AZ$1,"/",WeaponsImg[[#This Row],[Name]],".png"),WeaponsImg[[#This Row],[Name]])</f>
        <v>#VALUE!</v>
      </c>
      <c r="BA24" s="2" t="s">
        <v>313</v>
      </c>
      <c r="BC24" s="2" t="e" vm="326">
        <f>_xlfn.IMAGE(_xlfn.CONCAT("https://raw.githubusercontent.com/ItsCryp7iC/Genshin-Image-Hosting/main/",BC$1,"/",WeaponMaterialsImg[[#This Row],[Name]],".png"),WeaponMaterialsImg[[#This Row],[Name]])</f>
        <v>#VALUE!</v>
      </c>
      <c r="BD24" s="2" t="s">
        <v>314</v>
      </c>
    </row>
    <row r="25" spans="4:56" ht="30" customHeight="1" x14ac:dyDescent="0.25">
      <c r="D25" s="4" t="e" vm="327">
        <f>_xlfn.IMAGE(_xlfn.CONCAT("https://raw.githubusercontent.com/ItsCryp7iC/Genshin-Image-Hosting/main/",D$1,"/",CharacterDetailsImg[[#This Row],[Name]],".png"),CharacterDetailsImg[[#This Row],[Name]])</f>
        <v>#VALUE!</v>
      </c>
      <c r="E25" s="2" t="s">
        <v>315</v>
      </c>
      <c r="F25" s="2" t="e" vm="5">
        <f t="shared" si="0"/>
        <v>#VALUE!</v>
      </c>
      <c r="G25" s="2" t="e" vm="112">
        <f>$AW$7</f>
        <v>#VALUE!</v>
      </c>
      <c r="H25" s="13">
        <v>4</v>
      </c>
      <c r="J25" s="2" t="e" vm="328">
        <f>$T$24</f>
        <v>#VALUE!</v>
      </c>
      <c r="L25" s="2" t="e" vm="95">
        <f>$Z$14</f>
        <v>#VALUE!</v>
      </c>
      <c r="M25" s="2" t="e" vm="55">
        <f>$AI$6</f>
        <v>#VALUE!</v>
      </c>
      <c r="N25" s="5" t="e" vm="293">
        <f>IF(OR(
E25="TravelerAnemo",
E25="TravelerGeo",
E25="TravelerElectro",
E25="TravelerDendro",
E25="TravelerHydro",
E25="TravelerPyro",
E25="TravelerCryo"),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5" s="2" t="e" vm="329">
        <f>_xlfn.IMAGE(_xlfn.CONCAT("https://raw.githubusercontent.com/ItsCryp7iC/Genshin-Image-Hosting/main/",P$1,"/",WorldBossImg[[#This Row],[Name]],".png"),WorldBossImg[[#This Row],[Name]])</f>
        <v>#VALUE!</v>
      </c>
      <c r="Q25" s="2" t="s">
        <v>316</v>
      </c>
      <c r="R25" s="2" t="s">
        <v>317</v>
      </c>
      <c r="T25" s="2" t="e" vm="330">
        <f>_xlfn.IMAGE(_xlfn.CONCAT("https://raw.githubusercontent.com/ItsCryp7iC/Genshin-Image-Hosting/main/",T$1,"/",WeeklyBossImg[[#This Row],[Name]],".png"),WeeklyBossImg[[#This Row],[Name]])</f>
        <v>#VALUE!</v>
      </c>
      <c r="U25" s="2" t="s">
        <v>307</v>
      </c>
      <c r="V25" s="2" t="s">
        <v>308</v>
      </c>
      <c r="AF25" s="2" t="e" vm="331">
        <f>_xlfn.IMAGE(_xlfn.CONCAT("https://raw.githubusercontent.com/ItsCryp7iC/Genshin-Image-Hosting/main/",AF$1,"/",TalentBooksImg[[#This Row],[Name]],".png"),TalentBooksImg[[#This Row],[Name]])</f>
        <v>#VALUE!</v>
      </c>
      <c r="AG25" s="2" t="s">
        <v>347</v>
      </c>
      <c r="AI25" s="2" t="e" vm="332">
        <f>_xlfn.IMAGE(_xlfn.CONCAT("https://raw.githubusercontent.com/ItsCryp7iC/Genshin-Image-Hosting/main/",AI$1,"/",LocalSpecialtiesImg[[#This Row],[Name]],".png"),LocalSpecialtiesImg[[#This Row],[Name]])</f>
        <v>#VALUE!</v>
      </c>
      <c r="AJ25" s="2" t="s">
        <v>405</v>
      </c>
      <c r="AL25" s="2" t="e" vm="333">
        <f>_xlfn.IMAGE(_xlfn.CONCAT("https://raw.githubusercontent.com/ItsCryp7iC/Genshin-Image-Hosting/main/",AL$1,"/",GemsImg[[#This Row],[Name]],".png"),GemsImg[[#This Row],[Name]])</f>
        <v>#VALUE!</v>
      </c>
      <c r="AM25" s="2" t="str">
        <f>_xlfn.CONCAT(GemsImg[[#This Row],[Column2]],GemsImg[[#This Row],[Column1]])</f>
        <v>VayudaTurquoiseFragment</v>
      </c>
      <c r="AN25" s="2" t="s">
        <v>776</v>
      </c>
      <c r="AO25" s="2" t="s">
        <v>54</v>
      </c>
      <c r="AZ25" s="2" t="e" vm="334">
        <f>_xlfn.IMAGE(_xlfn.CONCAT("https://raw.githubusercontent.com/ItsCryp7iC/Genshin-Image-Hosting/main/",AZ$1,"/",WeaponsImg[[#This Row],[Name]],".png"),WeaponsImg[[#This Row],[Name]])</f>
        <v>#VALUE!</v>
      </c>
      <c r="BA25" s="2" t="s">
        <v>322</v>
      </c>
      <c r="BC25" s="2" t="e" vm="335">
        <f>_xlfn.IMAGE(_xlfn.CONCAT("https://raw.githubusercontent.com/ItsCryp7iC/Genshin-Image-Hosting/main/",BC$1,"/",WeaponMaterialsImg[[#This Row],[Name]],".png"),WeaponMaterialsImg[[#This Row],[Name]])</f>
        <v>#VALUE!</v>
      </c>
      <c r="BD25" s="2" t="s">
        <v>323</v>
      </c>
    </row>
    <row r="26" spans="4:56" ht="30" customHeight="1" x14ac:dyDescent="0.25">
      <c r="D26" s="4" t="e" vm="336">
        <f>_xlfn.IMAGE(_xlfn.CONCAT("https://raw.githubusercontent.com/ItsCryp7iC/Genshin-Image-Hosting/main/",D$1,"/",CharacterDetailsImg[[#This Row],[Name]],".png"),CharacterDetailsImg[[#This Row],[Name]])</f>
        <v>#VALUE!</v>
      </c>
      <c r="E26" s="2" t="s">
        <v>342</v>
      </c>
      <c r="F26" s="2" t="e" vm="5">
        <f t="shared" si="0"/>
        <v>#VALUE!</v>
      </c>
      <c r="G26" s="2" t="e" vm="112">
        <f>$AW$7</f>
        <v>#VALUE!</v>
      </c>
      <c r="H26" s="13">
        <v>1</v>
      </c>
      <c r="I26" s="2" t="e" vm="337">
        <f>$P$7</f>
        <v>#VALUE!</v>
      </c>
      <c r="J26" s="2" t="e" vm="282">
        <f>$T$6</f>
        <v>#VALUE!</v>
      </c>
      <c r="K26" s="2" t="e" vm="338">
        <f>$AF$18</f>
        <v>#VALUE!</v>
      </c>
      <c r="L26" s="2" t="e" vm="133">
        <f>$Z$4</f>
        <v>#VALUE!</v>
      </c>
      <c r="M26" s="2" t="e" vm="339">
        <f>$AI$13</f>
        <v>#VALUE!</v>
      </c>
      <c r="N26" s="5" t="e" vm="117">
        <f>IF(OR(
E26="TravelerAnemo",
E26="TravelerGeo",
E26="TravelerElectro",
E26="TravelerDendro",
E26="TravelerHydro",
E26="TravelerPyro",
E26="TravelerCryo"),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6" s="2" t="e" vm="340">
        <f>_xlfn.IMAGE(_xlfn.CONCAT("https://raw.githubusercontent.com/ItsCryp7iC/Genshin-Image-Hosting/main/",P$1,"/",WorldBossImg[[#This Row],[Name]],".png"),WorldBossImg[[#This Row],[Name]])</f>
        <v>#VALUE!</v>
      </c>
      <c r="Q26" s="2" t="s">
        <v>324</v>
      </c>
      <c r="R26" s="2" t="s">
        <v>325</v>
      </c>
      <c r="T26" s="2" t="e" vm="341">
        <f>_xlfn.IMAGE(_xlfn.CONCAT("https://raw.githubusercontent.com/ItsCryp7iC/Genshin-Image-Hosting/main/",T$1,"/",WeeklyBossImg[[#This Row],[Name]],".png"),WeeklyBossImg[[#This Row],[Name]])</f>
        <v>#VALUE!</v>
      </c>
      <c r="U26" s="2" t="s">
        <v>307</v>
      </c>
      <c r="V26" s="2" t="s">
        <v>318</v>
      </c>
      <c r="AF26" s="2" t="e" vm="342">
        <f>_xlfn.IMAGE(_xlfn.CONCAT("https://raw.githubusercontent.com/ItsCryp7iC/Genshin-Image-Hosting/main/",AF$1,"/",TalentBooksImg[[#This Row],[Name]],".png"),TalentBooksImg[[#This Row],[Name]])</f>
        <v>#VALUE!</v>
      </c>
      <c r="AG26" s="19" t="s">
        <v>338</v>
      </c>
      <c r="AI26" s="2" t="e" vm="343">
        <f>_xlfn.IMAGE(_xlfn.CONCAT("https://raw.githubusercontent.com/ItsCryp7iC/Genshin-Image-Hosting/main/",AI$1,"/",LocalSpecialtiesImg[[#This Row],[Name]],".png"),LocalSpecialtiesImg[[#This Row],[Name]])</f>
        <v>#VALUE!</v>
      </c>
      <c r="AJ26" s="2" t="s">
        <v>393</v>
      </c>
      <c r="AL26" s="2" t="e" vm="344">
        <f>_xlfn.IMAGE(_xlfn.CONCAT("https://raw.githubusercontent.com/ItsCryp7iC/Genshin-Image-Hosting/main/",AL$1,"/",GemsImg[[#This Row],[Name]],".png"),GemsImg[[#This Row],[Name]])</f>
        <v>#VALUE!</v>
      </c>
      <c r="AM26" s="2" t="str">
        <f>_xlfn.CONCAT(GemsImg[[#This Row],[Column2]],GemsImg[[#This Row],[Column1]])</f>
        <v>VayudaTurquoiseSilver</v>
      </c>
      <c r="AN26" s="2" t="s">
        <v>776</v>
      </c>
      <c r="AO26" s="2" t="s">
        <v>53</v>
      </c>
      <c r="AZ26" s="2" t="e" vm="345">
        <f>_xlfn.IMAGE(_xlfn.CONCAT("https://raw.githubusercontent.com/ItsCryp7iC/Genshin-Image-Hosting/main/",AZ$1,"/",WeaponsImg[[#This Row],[Name]],".png"),WeaponsImg[[#This Row],[Name]])</f>
        <v>#VALUE!</v>
      </c>
      <c r="BA26" s="2" t="s">
        <v>330</v>
      </c>
      <c r="BC26" s="2" t="e" vm="346">
        <f>_xlfn.IMAGE(_xlfn.CONCAT("https://raw.githubusercontent.com/ItsCryp7iC/Genshin-Image-Hosting/main/",BC$1,"/",WeaponMaterialsImg[[#This Row],[Name]],".png"),WeaponMaterialsImg[[#This Row],[Name]])</f>
        <v>#VALUE!</v>
      </c>
      <c r="BD26" s="2" t="s">
        <v>331</v>
      </c>
    </row>
    <row r="27" spans="4:56" ht="30" customHeight="1" x14ac:dyDescent="0.25">
      <c r="D27" s="4" t="e" vm="347">
        <f>_xlfn.IMAGE(_xlfn.CONCAT("https://raw.githubusercontent.com/ItsCryp7iC/Genshin-Image-Hosting/main/",D$1,"/",CharacterDetailsImg[[#This Row],[Name]],".png"),CharacterDetailsImg[[#This Row],[Name]])</f>
        <v>#VALUE!</v>
      </c>
      <c r="E27" s="2" t="s">
        <v>351</v>
      </c>
      <c r="F27" s="2" t="e" vm="348">
        <f t="shared" ref="F27:F42" si="1">$AT$6</f>
        <v>#VALUE!</v>
      </c>
      <c r="G27" s="2" t="e" vm="165">
        <f>$AW$9</f>
        <v>#VALUE!</v>
      </c>
      <c r="H27" s="13">
        <v>2.1</v>
      </c>
      <c r="I27" s="2" t="e" vm="349">
        <f>$P$10</f>
        <v>#VALUE!</v>
      </c>
      <c r="J27" s="2" t="e" vm="350">
        <f>$T$15</f>
        <v>#VALUE!</v>
      </c>
      <c r="K27" s="2" t="e" vm="351">
        <f>$AF$3</f>
        <v>#VALUE!</v>
      </c>
      <c r="L27" s="2" t="e" vm="75">
        <f>$Z$11</f>
        <v>#VALUE!</v>
      </c>
      <c r="M27" s="2" t="e" vm="352">
        <f>$AI$22</f>
        <v>#VALUE!</v>
      </c>
      <c r="N27" s="5" t="e" vm="169">
        <f>IF(OR(
E27="TravelerAnemo",
E27="TravelerGeo",
E27="TravelerElectro",
E27="TravelerDendro",
E27="TravelerHydro",
E27="TravelerPyro",
E27="TravelerCryo"),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7" s="2" t="e" vm="353">
        <f>_xlfn.IMAGE(_xlfn.CONCAT("https://raw.githubusercontent.com/ItsCryp7iC/Genshin-Image-Hosting/main/",P$1,"/",WorldBossImg[[#This Row],[Name]],".png"),WorldBossImg[[#This Row],[Name]])</f>
        <v>#VALUE!</v>
      </c>
      <c r="Q27" s="2" t="s">
        <v>332</v>
      </c>
      <c r="R27" s="2" t="s">
        <v>333</v>
      </c>
      <c r="T27" s="2" t="e" vm="354">
        <f>_xlfn.IMAGE(_xlfn.CONCAT("https://raw.githubusercontent.com/ItsCryp7iC/Genshin-Image-Hosting/main/",T$1,"/",WeeklyBossImg[[#This Row],[Name]],".png"),WeeklyBossImg[[#This Row],[Name]])</f>
        <v>#VALUE!</v>
      </c>
      <c r="U27" s="2" t="s">
        <v>334</v>
      </c>
      <c r="V27" s="2" t="s">
        <v>335</v>
      </c>
      <c r="AF27" s="2" t="e" vm="355">
        <f>_xlfn.IMAGE(_xlfn.CONCAT("https://raw.githubusercontent.com/ItsCryp7iC/Genshin-Image-Hosting/main/",AF$1,"/",TalentBooksImg[[#This Row],[Name]],".png"),TalentBooksImg[[#This Row],[Name]])</f>
        <v>#VALUE!</v>
      </c>
      <c r="AG27" s="2" t="s">
        <v>328</v>
      </c>
      <c r="AI27" s="2" t="e" vm="356">
        <f>_xlfn.IMAGE(_xlfn.CONCAT("https://raw.githubusercontent.com/ItsCryp7iC/Genshin-Image-Hosting/main/",AI$1,"/",LocalSpecialtiesImg[[#This Row],[Name]],".png"),LocalSpecialtiesImg[[#This Row],[Name]])</f>
        <v>#VALUE!</v>
      </c>
      <c r="AJ27" s="2" t="s">
        <v>89</v>
      </c>
      <c r="AL27" s="2" t="e" vm="357">
        <f>_xlfn.IMAGE(_xlfn.CONCAT("https://raw.githubusercontent.com/ItsCryp7iC/Genshin-Image-Hosting/main/",AL$1,"/",GemsImg[[#This Row],[Name]],".png"),GemsImg[[#This Row],[Name]])</f>
        <v>#VALUE!</v>
      </c>
      <c r="AM27" s="2" t="str">
        <f>_xlfn.CONCAT(GemsImg[[#This Row],[Column2]],GemsImg[[#This Row],[Column1]])</f>
        <v>ShivadaJadeGemstone</v>
      </c>
      <c r="AN27" s="2" t="s">
        <v>777</v>
      </c>
      <c r="AO27" s="2" t="s">
        <v>56</v>
      </c>
      <c r="AZ27" s="2" t="e" vm="358">
        <f>_xlfn.IMAGE(_xlfn.CONCAT("https://raw.githubusercontent.com/ItsCryp7iC/Genshin-Image-Hosting/main/",AZ$1,"/",WeaponsImg[[#This Row],[Name]],".png"),WeaponsImg[[#This Row],[Name]])</f>
        <v>#VALUE!</v>
      </c>
      <c r="BA27" s="2" t="s">
        <v>340</v>
      </c>
      <c r="BC27" s="2" t="e" vm="359">
        <f>_xlfn.IMAGE(_xlfn.CONCAT("https://raw.githubusercontent.com/ItsCryp7iC/Genshin-Image-Hosting/main/",BC$1,"/",WeaponMaterialsImg[[#This Row],[Name]],".png"),WeaponMaterialsImg[[#This Row],[Name]])</f>
        <v>#VALUE!</v>
      </c>
      <c r="BD27" s="2" t="s">
        <v>341</v>
      </c>
    </row>
    <row r="28" spans="4:56" ht="30" customHeight="1" x14ac:dyDescent="0.25">
      <c r="D28" s="4" t="e" vm="360">
        <f>_xlfn.IMAGE(_xlfn.CONCAT("https://raw.githubusercontent.com/ItsCryp7iC/Genshin-Image-Hosting/main/",D$1,"/",CharacterDetailsImg[[#This Row],[Name]],".png"),CharacterDetailsImg[[#This Row],[Name]])</f>
        <v>#VALUE!</v>
      </c>
      <c r="E28" s="2" t="s">
        <v>360</v>
      </c>
      <c r="F28" s="2" t="e" vm="348">
        <f t="shared" si="1"/>
        <v>#VALUE!</v>
      </c>
      <c r="G28" s="2" t="e" vm="50">
        <f>$AW$8</f>
        <v>#VALUE!</v>
      </c>
      <c r="H28" s="13">
        <v>1</v>
      </c>
      <c r="I28" s="2" t="e" vm="51">
        <f>$P$6</f>
        <v>#VALUE!</v>
      </c>
      <c r="J28" s="2" t="e" vm="292">
        <f>$T$5</f>
        <v>#VALUE!</v>
      </c>
      <c r="K28" s="2" t="e" vm="351">
        <f>$AF$3</f>
        <v>#VALUE!</v>
      </c>
      <c r="L28" s="2" t="e" vm="302">
        <f>$Z$6</f>
        <v>#VALUE!</v>
      </c>
      <c r="M28" s="2" t="e" vm="361">
        <f>$AI$8</f>
        <v>#VALUE!</v>
      </c>
      <c r="N28" s="5" t="e" vm="56">
        <f>IF(OR(
E28="TravelerAnemo",
E28="TravelerGeo",
E28="TravelerElectro",
E28="TravelerDendro",
E28="TravelerHydro",
E28="TravelerPyro",
E28="TravelerCryo"),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8" s="2" t="e" vm="362">
        <f>_xlfn.IMAGE(_xlfn.CONCAT("https://raw.githubusercontent.com/ItsCryp7iC/Genshin-Image-Hosting/main/",P$1,"/",WorldBossImg[[#This Row],[Name]],".png"),WorldBossImg[[#This Row],[Name]])</f>
        <v>#VALUE!</v>
      </c>
      <c r="Q28" s="2" t="s">
        <v>343</v>
      </c>
      <c r="R28" s="2" t="s">
        <v>344</v>
      </c>
      <c r="T28" s="2" t="e" vm="363">
        <f>_xlfn.IMAGE(_xlfn.CONCAT("https://raw.githubusercontent.com/ItsCryp7iC/Genshin-Image-Hosting/main/",T$1,"/",WeeklyBossImg[[#This Row],[Name]],".png"),WeeklyBossImg[[#This Row],[Name]])</f>
        <v>#VALUE!</v>
      </c>
      <c r="U28" s="2" t="s">
        <v>334</v>
      </c>
      <c r="V28" s="2" t="s">
        <v>345</v>
      </c>
      <c r="AF28" s="2" t="e" vm="364">
        <f>_xlfn.IMAGE(_xlfn.CONCAT("https://raw.githubusercontent.com/ItsCryp7iC/Genshin-Image-Hosting/main/",AF$1,"/",TalentBooksImg[[#This Row],[Name]],".png"),TalentBooksImg[[#This Row],[Name]])</f>
        <v>#VALUE!</v>
      </c>
      <c r="AG28" s="2" t="s">
        <v>320</v>
      </c>
      <c r="AI28" s="2" t="e" vm="365">
        <f>_xlfn.IMAGE(_xlfn.CONCAT("https://raw.githubusercontent.com/ItsCryp7iC/Genshin-Image-Hosting/main/",AI$1,"/",LocalSpecialtiesImg[[#This Row],[Name]],".png"),LocalSpecialtiesImg[[#This Row],[Name]])</f>
        <v>#VALUE!</v>
      </c>
      <c r="AJ28" s="2" t="s">
        <v>197</v>
      </c>
      <c r="AL28" s="2" t="e" vm="366">
        <f>_xlfn.IMAGE(_xlfn.CONCAT("https://raw.githubusercontent.com/ItsCryp7iC/Genshin-Image-Hosting/main/",AL$1,"/",GemsImg[[#This Row],[Name]],".png"),GemsImg[[#This Row],[Name]])</f>
        <v>#VALUE!</v>
      </c>
      <c r="AM28" s="2" t="str">
        <f>_xlfn.CONCAT(GemsImg[[#This Row],[Column2]],GemsImg[[#This Row],[Column1]])</f>
        <v>ShivadaJadeChunk</v>
      </c>
      <c r="AN28" s="2" t="s">
        <v>777</v>
      </c>
      <c r="AO28" s="2" t="s">
        <v>55</v>
      </c>
      <c r="AZ28" s="2" t="e" vm="367">
        <f>_xlfn.IMAGE(_xlfn.CONCAT("https://raw.githubusercontent.com/ItsCryp7iC/Genshin-Image-Hosting/main/",AZ$1,"/",WeaponsImg[[#This Row],[Name]],".png"),WeaponsImg[[#This Row],[Name]])</f>
        <v>#VALUE!</v>
      </c>
      <c r="BA28" s="2" t="s">
        <v>349</v>
      </c>
      <c r="BC28" s="2" t="e" vm="368">
        <f>_xlfn.IMAGE(_xlfn.CONCAT("https://raw.githubusercontent.com/ItsCryp7iC/Genshin-Image-Hosting/main/",BC$1,"/",WeaponMaterialsImg[[#This Row],[Name]],".png"),WeaponMaterialsImg[[#This Row],[Name]])</f>
        <v>#VALUE!</v>
      </c>
      <c r="BD28" s="2" t="s">
        <v>350</v>
      </c>
    </row>
    <row r="29" spans="4:56" ht="30" customHeight="1" x14ac:dyDescent="0.25">
      <c r="D29" s="4" t="e" vm="369">
        <f>_xlfn.IMAGE(_xlfn.CONCAT("https://raw.githubusercontent.com/ItsCryp7iC/Genshin-Image-Hosting/main/",D$1,"/",CharacterDetailsImg[[#This Row],[Name]],".png"),CharacterDetailsImg[[#This Row],[Name]])</f>
        <v>#VALUE!</v>
      </c>
      <c r="E29" s="2" t="s">
        <v>371</v>
      </c>
      <c r="F29" s="2" t="e" vm="348">
        <f t="shared" si="1"/>
        <v>#VALUE!</v>
      </c>
      <c r="G29" s="2" t="e" vm="28">
        <f>$AW$6</f>
        <v>#VALUE!</v>
      </c>
      <c r="H29" s="13">
        <v>3</v>
      </c>
      <c r="I29" s="2" t="e" vm="370">
        <f>$P$19</f>
        <v>#VALUE!</v>
      </c>
      <c r="J29" s="2" t="e" vm="240">
        <f>$T$19</f>
        <v>#VALUE!</v>
      </c>
      <c r="K29" s="2" t="e" vm="271">
        <f>$AF$36</f>
        <v>#VALUE!</v>
      </c>
      <c r="L29" s="2" t="e" vm="302">
        <f>$Z$6</f>
        <v>#VALUE!</v>
      </c>
      <c r="M29" s="2" t="e" vm="371">
        <f>AI29</f>
        <v>#VALUE!</v>
      </c>
      <c r="N29" s="5" t="e" vm="34">
        <f>IF(OR(
E29="TravelerAnemo",
E29="TravelerGeo",
E29="TravelerElectro",
E29="TravelerDendro",
E29="TravelerHydro",
E29="TravelerPyro",
E29="TravelerCryo"),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9" s="2" t="e" vm="372">
        <f>_xlfn.IMAGE(_xlfn.CONCAT("https://raw.githubusercontent.com/ItsCryp7iC/Genshin-Image-Hosting/main/",P$1,"/",WorldBossImg[[#This Row],[Name]],".png"),WorldBossImg[[#This Row],[Name]])</f>
        <v>#VALUE!</v>
      </c>
      <c r="Q29" s="2" t="s">
        <v>352</v>
      </c>
      <c r="R29" s="2" t="s">
        <v>353</v>
      </c>
      <c r="T29" s="2" t="e" vm="373">
        <f>_xlfn.IMAGE(_xlfn.CONCAT("https://raw.githubusercontent.com/ItsCryp7iC/Genshin-Image-Hosting/main/",T$1,"/",WeeklyBossImg[[#This Row],[Name]],".png"),WeeklyBossImg[[#This Row],[Name]])</f>
        <v>#VALUE!</v>
      </c>
      <c r="U29" s="2" t="s">
        <v>334</v>
      </c>
      <c r="V29" s="2" t="s">
        <v>354</v>
      </c>
      <c r="AF29" s="2" t="e" vm="374">
        <f>_xlfn.IMAGE(_xlfn.CONCAT("https://raw.githubusercontent.com/ItsCryp7iC/Genshin-Image-Hosting/main/",AF$1,"/",TalentBooksImg[[#This Row],[Name]],".png"),TalentBooksImg[[#This Row],[Name]])</f>
        <v>#VALUE!</v>
      </c>
      <c r="AG29" s="2" t="s">
        <v>311</v>
      </c>
      <c r="AI29" s="2" t="e" vm="375">
        <f>_xlfn.IMAGE(_xlfn.CONCAT("https://raw.githubusercontent.com/ItsCryp7iC/Genshin-Image-Hosting/main/",AI$1,"/",LocalSpecialtiesImg[[#This Row],[Name]],".png"),LocalSpecialtiesImg[[#This Row],[Name]])</f>
        <v>#VALUE!</v>
      </c>
      <c r="AJ29" s="2" t="s">
        <v>368</v>
      </c>
      <c r="AL29" s="2" t="e" vm="376">
        <f>_xlfn.IMAGE(_xlfn.CONCAT("https://raw.githubusercontent.com/ItsCryp7iC/Genshin-Image-Hosting/main/",AL$1,"/",GemsImg[[#This Row],[Name]],".png"),GemsImg[[#This Row],[Name]])</f>
        <v>#VALUE!</v>
      </c>
      <c r="AM29" s="2" t="str">
        <f>_xlfn.CONCAT(GemsImg[[#This Row],[Column2]],GemsImg[[#This Row],[Column1]])</f>
        <v>ShivadaJadeFragment</v>
      </c>
      <c r="AN29" s="2" t="s">
        <v>777</v>
      </c>
      <c r="AO29" s="2" t="s">
        <v>54</v>
      </c>
      <c r="AZ29" s="2" t="e" vm="377">
        <f>_xlfn.IMAGE(_xlfn.CONCAT("https://raw.githubusercontent.com/ItsCryp7iC/Genshin-Image-Hosting/main/",AZ$1,"/",WeaponsImg[[#This Row],[Name]],".png"),WeaponsImg[[#This Row],[Name]])</f>
        <v>#VALUE!</v>
      </c>
      <c r="BA29" s="2" t="s">
        <v>358</v>
      </c>
      <c r="BC29" s="2" t="e" vm="378">
        <f>_xlfn.IMAGE(_xlfn.CONCAT("https://raw.githubusercontent.com/ItsCryp7iC/Genshin-Image-Hosting/main/",BC$1,"/",WeaponMaterialsImg[[#This Row],[Name]],".png"),WeaponMaterialsImg[[#This Row],[Name]])</f>
        <v>#VALUE!</v>
      </c>
      <c r="BD29" s="2" t="s">
        <v>359</v>
      </c>
    </row>
    <row r="30" spans="4:56" ht="30" customHeight="1" x14ac:dyDescent="0.25">
      <c r="D30" s="4" t="e" vm="379">
        <f>_xlfn.IMAGE(_xlfn.CONCAT("https://raw.githubusercontent.com/ItsCryp7iC/Genshin-Image-Hosting/main/",D$1,"/",CharacterDetailsImg[[#This Row],[Name]],".png"),CharacterDetailsImg[[#This Row],[Name]])</f>
        <v>#VALUE!</v>
      </c>
      <c r="E30" s="2" t="s">
        <v>380</v>
      </c>
      <c r="F30" s="2" t="e" vm="348">
        <f t="shared" si="1"/>
        <v>#VALUE!</v>
      </c>
      <c r="G30" s="2" t="e" vm="165">
        <f>$AW$9</f>
        <v>#VALUE!</v>
      </c>
      <c r="H30" s="13">
        <v>1.1000000000000001</v>
      </c>
      <c r="I30" s="2" t="e" vm="166">
        <f>$P$5</f>
        <v>#VALUE!</v>
      </c>
      <c r="J30" s="2" t="e" vm="380">
        <f>$T$10</f>
        <v>#VALUE!</v>
      </c>
      <c r="K30" s="2" t="e" vm="351">
        <f>$AF$3</f>
        <v>#VALUE!</v>
      </c>
      <c r="L30" s="2" t="e" vm="302">
        <f>$Z$6</f>
        <v>#VALUE!</v>
      </c>
      <c r="M30" s="2" t="e" vm="168">
        <f>$AI$9</f>
        <v>#VALUE!</v>
      </c>
      <c r="N30" s="5" t="e" vm="169">
        <f>IF(OR(
E30="TravelerAnemo",
E30="TravelerGeo",
E30="TravelerElectro",
E30="TravelerDendro",
E30="TravelerHydro",
E30="TravelerPyro",
E30="TravelerCryo"),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30" s="2" t="e" vm="381">
        <f>_xlfn.IMAGE(_xlfn.CONCAT("https://raw.githubusercontent.com/ItsCryp7iC/Genshin-Image-Hosting/main/",P$1,"/",WorldBossImg[[#This Row],[Name]],".png"),WorldBossImg[[#This Row],[Name]])</f>
        <v>#VALUE!</v>
      </c>
      <c r="Q30" s="2" t="s">
        <v>361</v>
      </c>
      <c r="R30" s="2" t="s">
        <v>362</v>
      </c>
      <c r="T30" s="2" t="e" vm="382">
        <f>_xlfn.IMAGE(_xlfn.CONCAT("https://raw.githubusercontent.com/ItsCryp7iC/Genshin-Image-Hosting/main/",T$1,"/",WeeklyBossImg[[#This Row],[Name]],".png"),WeeklyBossImg[[#This Row],[Name]])</f>
        <v>#VALUE!</v>
      </c>
      <c r="U30" s="2" t="s">
        <v>363</v>
      </c>
      <c r="V30" s="2" t="s">
        <v>382</v>
      </c>
      <c r="AF30" s="2" t="e" vm="383">
        <f>_xlfn.IMAGE(_xlfn.CONCAT("https://raw.githubusercontent.com/ItsCryp7iC/Genshin-Image-Hosting/main/",AF$1,"/",TalentBooksImg[[#This Row],[Name]],".png"),TalentBooksImg[[#This Row],[Name]])</f>
        <v>#VALUE!</v>
      </c>
      <c r="AG30" s="19" t="s">
        <v>404</v>
      </c>
      <c r="AI30" s="2" t="e" vm="384">
        <f>_xlfn.IMAGE(_xlfn.CONCAT("https://raw.githubusercontent.com/ItsCryp7iC/Genshin-Image-Hosting/main/",AI$1,"/",LocalSpecialtiesImg[[#This Row],[Name]],".png"),LocalSpecialtiesImg[[#This Row],[Name]])</f>
        <v>#VALUE!</v>
      </c>
      <c r="AJ30" s="2" t="s">
        <v>321</v>
      </c>
      <c r="AL30" s="2" t="e" vm="385">
        <f>_xlfn.IMAGE(_xlfn.CONCAT("https://raw.githubusercontent.com/ItsCryp7iC/Genshin-Image-Hosting/main/",AL$1,"/",GemsImg[[#This Row],[Name]],".png"),GemsImg[[#This Row],[Name]])</f>
        <v>#VALUE!</v>
      </c>
      <c r="AM30" s="2" t="str">
        <f>_xlfn.CONCAT(GemsImg[[#This Row],[Column2]],GemsImg[[#This Row],[Column1]])</f>
        <v>ShivadaJadeSilver</v>
      </c>
      <c r="AN30" s="2" t="s">
        <v>777</v>
      </c>
      <c r="AO30" s="2" t="s">
        <v>53</v>
      </c>
      <c r="AZ30" s="2" t="e" vm="386">
        <f>_xlfn.IMAGE(_xlfn.CONCAT("https://raw.githubusercontent.com/ItsCryp7iC/Genshin-Image-Hosting/main/",AZ$1,"/",WeaponsImg[[#This Row],[Name]],".png"),WeaponsImg[[#This Row],[Name]])</f>
        <v>#VALUE!</v>
      </c>
      <c r="BA30" s="2" t="s">
        <v>369</v>
      </c>
      <c r="BC30" s="2" t="e" vm="387">
        <f>_xlfn.IMAGE(_xlfn.CONCAT("https://raw.githubusercontent.com/ItsCryp7iC/Genshin-Image-Hosting/main/",BC$1,"/",WeaponMaterialsImg[[#This Row],[Name]],".png"),WeaponMaterialsImg[[#This Row],[Name]])</f>
        <v>#VALUE!</v>
      </c>
      <c r="BD30" s="2" t="s">
        <v>370</v>
      </c>
    </row>
    <row r="31" spans="4:56" ht="30" customHeight="1" x14ac:dyDescent="0.25">
      <c r="D31" s="4" t="e" vm="388">
        <f>_xlfn.IMAGE(_xlfn.CONCAT("https://raw.githubusercontent.com/ItsCryp7iC/Genshin-Image-Hosting/main/",D$1,"/",CharacterDetailsImg[[#This Row],[Name]],".png"),CharacterDetailsImg[[#This Row],[Name]])</f>
        <v>#VALUE!</v>
      </c>
      <c r="E31" s="2" t="s">
        <v>388</v>
      </c>
      <c r="F31" s="2" t="e" vm="348">
        <f t="shared" si="1"/>
        <v>#VALUE!</v>
      </c>
      <c r="G31" s="2" t="e" vm="131">
        <f>$AW$3</f>
        <v>#VALUE!</v>
      </c>
      <c r="H31" s="13">
        <v>3.3</v>
      </c>
      <c r="I31" s="2" t="e" vm="389">
        <f>$P$22</f>
        <v>#VALUE!</v>
      </c>
      <c r="J31" s="2" t="e" vm="390">
        <f>$T$21</f>
        <v>#VALUE!</v>
      </c>
      <c r="K31" s="2" t="e" vm="391">
        <f>$AF$30</f>
        <v>#VALUE!</v>
      </c>
      <c r="L31" s="2" t="e" vm="32">
        <f>$Z$13</f>
        <v>#VALUE!</v>
      </c>
      <c r="M31" s="2" t="e" vm="76">
        <f>$AI$33</f>
        <v>#VALUE!</v>
      </c>
      <c r="N31" s="5" t="e" vm="135">
        <f>IF(OR(
E31="TravelerAnemo",
E31="TravelerGeo",
E31="TravelerElectro",
E31="TravelerDendro",
E31="TravelerHydro",
E31="TravelerPyro",
E31="TravelerCryo"),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31" s="2" t="e" vm="392">
        <f>_xlfn.IMAGE(_xlfn.CONCAT("https://raw.githubusercontent.com/ItsCryp7iC/Genshin-Image-Hosting/main/",P$1,"/",WorldBossImg[[#This Row],[Name]],".png"),WorldBossImg[[#This Row],[Name]])</f>
        <v>#VALUE!</v>
      </c>
      <c r="Q31" s="2" t="s">
        <v>372</v>
      </c>
      <c r="R31" s="2" t="s">
        <v>373</v>
      </c>
      <c r="T31" s="2" t="e" vm="393">
        <f>_xlfn.IMAGE(_xlfn.CONCAT("https://raw.githubusercontent.com/ItsCryp7iC/Genshin-Image-Hosting/main/",T$1,"/",WeeklyBossImg[[#This Row],[Name]],".png"),WeeklyBossImg[[#This Row],[Name]])</f>
        <v>#VALUE!</v>
      </c>
      <c r="U31" s="2" t="s">
        <v>363</v>
      </c>
      <c r="V31" s="2" t="s">
        <v>364</v>
      </c>
      <c r="AF31" s="2" t="e" vm="394">
        <f>_xlfn.IMAGE(_xlfn.CONCAT("https://raw.githubusercontent.com/ItsCryp7iC/Genshin-Image-Hosting/main/",AF$1,"/",TalentBooksImg[[#This Row],[Name]],".png"),TalentBooksImg[[#This Row],[Name]])</f>
        <v>#VALUE!</v>
      </c>
      <c r="AG31" s="2" t="s">
        <v>398</v>
      </c>
      <c r="AI31" s="2" t="e" vm="395">
        <f>_xlfn.IMAGE(_xlfn.CONCAT("https://raw.githubusercontent.com/ItsCryp7iC/Genshin-Image-Hosting/main/",AI$1,"/",LocalSpecialtiesImg[[#This Row],[Name]],".png"),LocalSpecialtiesImg[[#This Row],[Name]])</f>
        <v>#VALUE!</v>
      </c>
      <c r="AJ31" s="2" t="s">
        <v>292</v>
      </c>
      <c r="AL31" s="2" t="e" vm="396">
        <f>_xlfn.IMAGE(_xlfn.CONCAT("https://raw.githubusercontent.com/ItsCryp7iC/Genshin-Image-Hosting/main/",AL$1,"/",GemsImg[[#This Row],[Name]],".png"),GemsImg[[#This Row],[Name]])</f>
        <v>#VALUE!</v>
      </c>
      <c r="AM31" s="2" t="str">
        <f>_xlfn.CONCAT(GemsImg[[#This Row],[Column2]],GemsImg[[#This Row],[Column1]])</f>
        <v>PrithivaTopazGemstone</v>
      </c>
      <c r="AN31" s="2" t="s">
        <v>778</v>
      </c>
      <c r="AO31" s="2" t="s">
        <v>56</v>
      </c>
      <c r="AZ31" s="2" t="e" vm="397">
        <f>_xlfn.IMAGE(_xlfn.CONCAT("https://raw.githubusercontent.com/ItsCryp7iC/Genshin-Image-Hosting/main/",AZ$1,"/",WeaponsImg[[#This Row],[Name]],".png"),WeaponsImg[[#This Row],[Name]])</f>
        <v>#VALUE!</v>
      </c>
      <c r="BA31" s="2" t="s">
        <v>378</v>
      </c>
      <c r="BC31" s="2" t="e" vm="398">
        <f>_xlfn.IMAGE(_xlfn.CONCAT("https://raw.githubusercontent.com/ItsCryp7iC/Genshin-Image-Hosting/main/",BC$1,"/",WeaponMaterialsImg[[#This Row],[Name]],".png"),WeaponMaterialsImg[[#This Row],[Name]])</f>
        <v>#VALUE!</v>
      </c>
      <c r="BD31" s="2" t="s">
        <v>379</v>
      </c>
    </row>
    <row r="32" spans="4:56" ht="30" customHeight="1" x14ac:dyDescent="0.25">
      <c r="D32" s="4" t="e" vm="399">
        <f>_xlfn.IMAGE(_xlfn.CONCAT("https://raw.githubusercontent.com/ItsCryp7iC/Genshin-Image-Hosting/main/",D$1,"/",CharacterDetailsImg[[#This Row],[Name]],".png"),CharacterDetailsImg[[#This Row],[Name]])</f>
        <v>#VALUE!</v>
      </c>
      <c r="E32" s="2" t="s">
        <v>396</v>
      </c>
      <c r="F32" s="2" t="e" vm="348">
        <f t="shared" si="1"/>
        <v>#VALUE!</v>
      </c>
      <c r="G32" s="2" t="e" vm="91">
        <f>$AW$5</f>
        <v>#VALUE!</v>
      </c>
      <c r="H32" s="13">
        <v>1</v>
      </c>
      <c r="I32" s="2" t="e" vm="210">
        <f>$P$4</f>
        <v>#VALUE!</v>
      </c>
      <c r="J32" s="2" t="e" vm="167">
        <f>$T$8</f>
        <v>#VALUE!</v>
      </c>
      <c r="K32" s="2" t="e" vm="9">
        <f>$AF$9</f>
        <v>#VALUE!</v>
      </c>
      <c r="L32" s="2" t="e" vm="302">
        <f>$Z$6</f>
        <v>#VALUE!</v>
      </c>
      <c r="M32" s="2" t="e" vm="361">
        <f>$AI$8</f>
        <v>#VALUE!</v>
      </c>
      <c r="N32" s="5" t="e" vm="97">
        <f>IF(OR(
E32="TravelerAnemo",
E32="TravelerGeo",
E32="TravelerElectro",
E32="TravelerDendro",
E32="TravelerHydro",
E32="TravelerPyro",
E32="TravelerCryo"),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32" s="2" t="e" vm="400">
        <f>_xlfn.IMAGE(_xlfn.CONCAT("https://raw.githubusercontent.com/ItsCryp7iC/Genshin-Image-Hosting/main/",P$1,"/",WorldBossImg[[#This Row],[Name]],".png"),WorldBossImg[[#This Row],[Name]])</f>
        <v>#VALUE!</v>
      </c>
      <c r="Q32" s="2" t="s">
        <v>35</v>
      </c>
      <c r="R32" s="2" t="s">
        <v>381</v>
      </c>
      <c r="T32" s="2" t="e" vm="401">
        <f>_xlfn.IMAGE(_xlfn.CONCAT("https://raw.githubusercontent.com/ItsCryp7iC/Genshin-Image-Hosting/main/",T$1,"/",WeeklyBossImg[[#This Row],[Name]],".png"),WeeklyBossImg[[#This Row],[Name]])</f>
        <v>#VALUE!</v>
      </c>
      <c r="U32" s="2" t="s">
        <v>363</v>
      </c>
      <c r="V32" s="2" t="s">
        <v>374</v>
      </c>
      <c r="AF32" s="2" t="e" vm="402">
        <f>_xlfn.IMAGE(_xlfn.CONCAT("https://raw.githubusercontent.com/ItsCryp7iC/Genshin-Image-Hosting/main/",AF$1,"/",TalentBooksImg[[#This Row],[Name]],".png"),TalentBooksImg[[#This Row],[Name]])</f>
        <v>#VALUE!</v>
      </c>
      <c r="AG32" s="19" t="s">
        <v>392</v>
      </c>
      <c r="AI32" s="2" t="e" vm="403">
        <f>_xlfn.IMAGE(_xlfn.CONCAT("https://raw.githubusercontent.com/ItsCryp7iC/Genshin-Image-Hosting/main/",AI$1,"/",LocalSpecialtiesImg[[#This Row],[Name]],".png"),LocalSpecialtiesImg[[#This Row],[Name]])</f>
        <v>#VALUE!</v>
      </c>
      <c r="AJ32" s="2" t="s">
        <v>235</v>
      </c>
      <c r="AL32" s="2" t="e" vm="404">
        <f>_xlfn.IMAGE(_xlfn.CONCAT("https://raw.githubusercontent.com/ItsCryp7iC/Genshin-Image-Hosting/main/",AL$1,"/",GemsImg[[#This Row],[Name]],".png"),GemsImg[[#This Row],[Name]])</f>
        <v>#VALUE!</v>
      </c>
      <c r="AM32" s="2" t="str">
        <f>_xlfn.CONCAT(GemsImg[[#This Row],[Column2]],GemsImg[[#This Row],[Column1]])</f>
        <v>PrithivaTopazChunk</v>
      </c>
      <c r="AN32" s="2" t="s">
        <v>778</v>
      </c>
      <c r="AO32" s="2" t="s">
        <v>55</v>
      </c>
      <c r="AZ32" s="2" t="e" vm="405">
        <f>_xlfn.IMAGE(_xlfn.CONCAT("https://raw.githubusercontent.com/ItsCryp7iC/Genshin-Image-Hosting/main/",AZ$1,"/",WeaponsImg[[#This Row],[Name]],".png"),WeaponsImg[[#This Row],[Name]])</f>
        <v>#VALUE!</v>
      </c>
      <c r="BA32" s="2" t="s">
        <v>386</v>
      </c>
      <c r="BC32" s="2" t="e" vm="406">
        <f>_xlfn.IMAGE(_xlfn.CONCAT("https://raw.githubusercontent.com/ItsCryp7iC/Genshin-Image-Hosting/main/",BC$1,"/",WeaponMaterialsImg[[#This Row],[Name]],".png"),WeaponMaterialsImg[[#This Row],[Name]])</f>
        <v>#VALUE!</v>
      </c>
      <c r="BD32" s="2" t="s">
        <v>387</v>
      </c>
    </row>
    <row r="33" spans="4:56" ht="30" customHeight="1" x14ac:dyDescent="0.25">
      <c r="D33" s="4" t="e" vm="407">
        <f>_xlfn.IMAGE(_xlfn.CONCAT("https://raw.githubusercontent.com/ItsCryp7iC/Genshin-Image-Hosting/main/",D$1,"/",CharacterDetailsImg[[#This Row],[Name]],".png"),CharacterDetailsImg[[#This Row],[Name]])</f>
        <v>#VALUE!</v>
      </c>
      <c r="E33" s="2" t="s">
        <v>402</v>
      </c>
      <c r="F33" s="2" t="e" vm="348">
        <f t="shared" si="1"/>
        <v>#VALUE!</v>
      </c>
      <c r="G33" s="2" t="e" vm="165">
        <f>$AW$9</f>
        <v>#VALUE!</v>
      </c>
      <c r="H33" s="13">
        <v>1.2</v>
      </c>
      <c r="I33" s="2" t="e" vm="166">
        <f>$P$5</f>
        <v>#VALUE!</v>
      </c>
      <c r="J33" s="2" t="e" vm="408">
        <f>$T$11</f>
        <v>#VALUE!</v>
      </c>
      <c r="K33" s="2" t="e" vm="151">
        <f>$AF$15</f>
        <v>#VALUE!</v>
      </c>
      <c r="L33" s="2" t="e" vm="115">
        <f>$Z$9</f>
        <v>#VALUE!</v>
      </c>
      <c r="M33" s="2" t="e" vm="409">
        <f>$AI$15</f>
        <v>#VALUE!</v>
      </c>
      <c r="N33" s="5" t="e" vm="169">
        <f>IF(OR(
E33="TravelerAnemo",
E33="TravelerGeo",
E33="TravelerElectro",
E33="TravelerDendro",
E33="TravelerHydro",
E33="TravelerPyro",
E33="TravelerCryo"),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33" s="2" t="e" vm="410">
        <f>_xlfn.IMAGE(_xlfn.CONCAT("https://raw.githubusercontent.com/ItsCryp7iC/Genshin-Image-Hosting/main/",P$1,"/",WorldBossImg[[#This Row],[Name]],".png"),WorldBossImg[[#This Row],[Name]])</f>
        <v>#VALUE!</v>
      </c>
      <c r="Q33" s="2" t="s">
        <v>389</v>
      </c>
      <c r="R33" s="2" t="s">
        <v>390</v>
      </c>
      <c r="AF33" s="2" t="e" vm="411">
        <f>_xlfn.IMAGE(_xlfn.CONCAT("https://raw.githubusercontent.com/ItsCryp7iC/Genshin-Image-Hosting/main/",AF$1,"/",TalentBooksImg[[#This Row],[Name]],".png"),TalentBooksImg[[#This Row],[Name]])</f>
        <v>#VALUE!</v>
      </c>
      <c r="AG33" s="19" t="s">
        <v>384</v>
      </c>
      <c r="AI33" s="2" t="e" vm="412">
        <f>_xlfn.IMAGE(_xlfn.CONCAT("https://raw.githubusercontent.com/ItsCryp7iC/Genshin-Image-Hosting/main/",AI$1,"/",LocalSpecialtiesImg[[#This Row],[Name]],".png"),LocalSpecialtiesImg[[#This Row],[Name]])</f>
        <v>#VALUE!</v>
      </c>
      <c r="AJ33" s="2" t="s">
        <v>215</v>
      </c>
      <c r="AL33" s="2" t="e" vm="413">
        <f>_xlfn.IMAGE(_xlfn.CONCAT("https://raw.githubusercontent.com/ItsCryp7iC/Genshin-Image-Hosting/main/",AL$1,"/",GemsImg[[#This Row],[Name]],".png"),GemsImg[[#This Row],[Name]])</f>
        <v>#VALUE!</v>
      </c>
      <c r="AM33" s="2" t="str">
        <f>_xlfn.CONCAT(GemsImg[[#This Row],[Column2]],GemsImg[[#This Row],[Column1]])</f>
        <v>PrithivaTopazFragment</v>
      </c>
      <c r="AN33" s="2" t="s">
        <v>778</v>
      </c>
      <c r="AO33" s="2" t="s">
        <v>54</v>
      </c>
      <c r="AZ33" s="2" t="e" vm="414">
        <f>_xlfn.IMAGE(_xlfn.CONCAT("https://raw.githubusercontent.com/ItsCryp7iC/Genshin-Image-Hosting/main/",AZ$1,"/",WeaponsImg[[#This Row],[Name]],".png"),WeaponsImg[[#This Row],[Name]])</f>
        <v>#VALUE!</v>
      </c>
      <c r="BA33" s="2" t="s">
        <v>394</v>
      </c>
      <c r="BC33" s="2" t="e" vm="415">
        <f>_xlfn.IMAGE(_xlfn.CONCAT("https://raw.githubusercontent.com/ItsCryp7iC/Genshin-Image-Hosting/main/",BC$1,"/",WeaponMaterialsImg[[#This Row],[Name]],".png"),WeaponMaterialsImg[[#This Row],[Name]])</f>
        <v>#VALUE!</v>
      </c>
      <c r="BD33" s="2" t="s">
        <v>395</v>
      </c>
    </row>
    <row r="34" spans="4:56" ht="30" customHeight="1" x14ac:dyDescent="0.25">
      <c r="D34" s="4" t="e" vm="416">
        <f>_xlfn.IMAGE(_xlfn.CONCAT("https://raw.githubusercontent.com/ItsCryp7iC/Genshin-Image-Hosting/main/",D$1,"/",CharacterDetailsImg[[#This Row],[Name]],".png"),CharacterDetailsImg[[#This Row],[Name]])</f>
        <v>#VALUE!</v>
      </c>
      <c r="E34" s="2" t="s">
        <v>408</v>
      </c>
      <c r="F34" s="2" t="e" vm="348">
        <f t="shared" si="1"/>
        <v>#VALUE!</v>
      </c>
      <c r="G34" s="2" t="e" vm="6">
        <f>$AW$4</f>
        <v>#VALUE!</v>
      </c>
      <c r="H34" s="13">
        <v>2.2999999999999998</v>
      </c>
      <c r="I34" s="2" t="e" vm="181">
        <f>$P$12</f>
        <v>#VALUE!</v>
      </c>
      <c r="J34" s="2" t="e" vm="350">
        <f>$T$15</f>
        <v>#VALUE!</v>
      </c>
      <c r="K34" s="2" t="e" vm="74">
        <f>$AF$27</f>
        <v>#VALUE!</v>
      </c>
      <c r="L34" s="2" t="e" vm="75">
        <f>$Z$11</f>
        <v>#VALUE!</v>
      </c>
      <c r="M34" s="2" t="e" vm="417">
        <f>$AI$26</f>
        <v>#VALUE!</v>
      </c>
      <c r="N34" s="5" t="e" vm="12">
        <f>IF(OR(
E34="TravelerAnemo",
E34="TravelerGeo",
E34="TravelerElectro",
E34="TravelerDendro",
E34="TravelerHydro",
E34="TravelerPyro",
E34="TravelerCryo"),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34" s="2" t="e" vm="418">
        <f>_xlfn.IMAGE(_xlfn.CONCAT("https://raw.githubusercontent.com/ItsCryp7iC/Genshin-Image-Hosting/main/",AF$1,"/",TalentBooksImg[[#This Row],[Name]],".png"),TalentBooksImg[[#This Row],[Name]])</f>
        <v>#VALUE!</v>
      </c>
      <c r="AG34" s="2" t="s">
        <v>376</v>
      </c>
      <c r="AI34" s="2" t="e" vm="419">
        <f>_xlfn.IMAGE(_xlfn.CONCAT("https://raw.githubusercontent.com/ItsCryp7iC/Genshin-Image-Hosting/main/",AI$1,"/",LocalSpecialtiesImg[[#This Row],[Name]],".png"),LocalSpecialtiesImg[[#This Row],[Name]])</f>
        <v>#VALUE!</v>
      </c>
      <c r="AJ34" s="2" t="s">
        <v>385</v>
      </c>
      <c r="AL34" s="2" t="e" vm="420">
        <f>_xlfn.IMAGE(_xlfn.CONCAT("https://raw.githubusercontent.com/ItsCryp7iC/Genshin-Image-Hosting/main/",AL$1,"/",GemsImg[[#This Row],[Name]],".png"),GemsImg[[#This Row],[Name]])</f>
        <v>#VALUE!</v>
      </c>
      <c r="AM34" s="2" t="str">
        <f>_xlfn.CONCAT(GemsImg[[#This Row],[Column2]],GemsImg[[#This Row],[Column1]])</f>
        <v>PrithivaTopazSilver</v>
      </c>
      <c r="AN34" s="2" t="s">
        <v>778</v>
      </c>
      <c r="AO34" s="2" t="s">
        <v>53</v>
      </c>
      <c r="AZ34" s="2" t="e" vm="421">
        <f>_xlfn.IMAGE(_xlfn.CONCAT("https://raw.githubusercontent.com/ItsCryp7iC/Genshin-Image-Hosting/main/",AZ$1,"/",WeaponsImg[[#This Row],[Name]],".png"),WeaponsImg[[#This Row],[Name]])</f>
        <v>#VALUE!</v>
      </c>
      <c r="BA34" s="2" t="s">
        <v>400</v>
      </c>
      <c r="BC34" s="2" t="e" vm="422">
        <f>_xlfn.IMAGE(_xlfn.CONCAT("https://raw.githubusercontent.com/ItsCryp7iC/Genshin-Image-Hosting/main/",BC$1,"/",WeaponMaterialsImg[[#This Row],[Name]],".png"),WeaponMaterialsImg[[#This Row],[Name]])</f>
        <v>#VALUE!</v>
      </c>
      <c r="BD34" s="2" t="s">
        <v>401</v>
      </c>
    </row>
    <row r="35" spans="4:56" ht="30" customHeight="1" x14ac:dyDescent="0.25">
      <c r="D35" s="4" t="e" vm="423">
        <f>_xlfn.IMAGE(_xlfn.CONCAT("https://raw.githubusercontent.com/ItsCryp7iC/Genshin-Image-Hosting/main/",D$1,"/",CharacterDetailsImg[[#This Row],[Name]],".png"),CharacterDetailsImg[[#This Row],[Name]])</f>
        <v>#VALUE!</v>
      </c>
      <c r="E35" s="2" t="s">
        <v>415</v>
      </c>
      <c r="F35" s="2" t="e" vm="348">
        <f t="shared" si="1"/>
        <v>#VALUE!</v>
      </c>
      <c r="G35" s="2" t="e" vm="91">
        <f>$AW$5</f>
        <v>#VALUE!</v>
      </c>
      <c r="H35" s="13">
        <v>2.1</v>
      </c>
      <c r="I35" s="2" t="e" vm="424">
        <f>$P$15</f>
        <v>#VALUE!</v>
      </c>
      <c r="J35" s="2" t="e" vm="425">
        <f>$T$17</f>
        <v>#VALUE!</v>
      </c>
      <c r="K35" s="2" t="e" vm="183">
        <f>$AF$24</f>
        <v>#VALUE!</v>
      </c>
      <c r="L35" s="2" t="e" vm="133">
        <f>$Z$4</f>
        <v>#VALUE!</v>
      </c>
      <c r="M35" s="2" t="e" vm="426">
        <f>$AI$23</f>
        <v>#VALUE!</v>
      </c>
      <c r="N35" s="5" t="e" vm="97">
        <f>IF(OR(
E35="TravelerAnemo",
E35="TravelerGeo",
E35="TravelerElectro",
E35="TravelerDendro",
E35="TravelerHydro",
E35="TravelerPyro",
E35="TravelerCryo"),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35" s="2" t="e" vm="427">
        <f>_xlfn.IMAGE(_xlfn.CONCAT("https://raw.githubusercontent.com/ItsCryp7iC/Genshin-Image-Hosting/main/",AF$1,"/",TalentBooksImg[[#This Row],[Name]],".png"),TalentBooksImg[[#This Row],[Name]])</f>
        <v>#VALUE!</v>
      </c>
      <c r="AG35" s="19" t="s">
        <v>367</v>
      </c>
      <c r="AI35" s="2" t="e" vm="428">
        <f>_xlfn.IMAGE(_xlfn.CONCAT("https://raw.githubusercontent.com/ItsCryp7iC/Genshin-Image-Hosting/main/",AI$1,"/",LocalSpecialtiesImg[[#This Row],[Name]],".png"),LocalSpecialtiesImg[[#This Row],[Name]])</f>
        <v>#VALUE!</v>
      </c>
      <c r="AJ35" s="2" t="s">
        <v>273</v>
      </c>
      <c r="AZ35" s="2" t="e" vm="429">
        <f>_xlfn.IMAGE(_xlfn.CONCAT("https://raw.githubusercontent.com/ItsCryp7iC/Genshin-Image-Hosting/main/",AZ$1,"/",WeaponsImg[[#This Row],[Name]],".png"),WeaponsImg[[#This Row],[Name]])</f>
        <v>#VALUE!</v>
      </c>
      <c r="BA35" s="2" t="s">
        <v>406</v>
      </c>
      <c r="BC35" s="2" t="e" vm="430">
        <f>_xlfn.IMAGE(_xlfn.CONCAT("https://raw.githubusercontent.com/ItsCryp7iC/Genshin-Image-Hosting/main/",BC$1,"/",WeaponMaterialsImg[[#This Row],[Name]],".png"),WeaponMaterialsImg[[#This Row],[Name]])</f>
        <v>#VALUE!</v>
      </c>
      <c r="BD35" s="2" t="s">
        <v>407</v>
      </c>
    </row>
    <row r="36" spans="4:56" ht="30" customHeight="1" x14ac:dyDescent="0.25">
      <c r="D36" s="4" t="e" vm="431">
        <f>_xlfn.IMAGE(_xlfn.CONCAT("https://raw.githubusercontent.com/ItsCryp7iC/Genshin-Image-Hosting/main/",D$1,"/",CharacterDetailsImg[[#This Row],[Name]],".png"),CharacterDetailsImg[[#This Row],[Name]])</f>
        <v>#VALUE!</v>
      </c>
      <c r="E36" s="2" t="s">
        <v>421</v>
      </c>
      <c r="F36" s="2" t="e" vm="348">
        <f t="shared" si="1"/>
        <v>#VALUE!</v>
      </c>
      <c r="G36" s="2" t="e" vm="50">
        <f>$AW$8</f>
        <v>#VALUE!</v>
      </c>
      <c r="H36" s="13">
        <v>4</v>
      </c>
      <c r="I36" s="2" t="e" vm="432">
        <f>$P$28</f>
        <v>#VALUE!</v>
      </c>
      <c r="J36" s="2" t="e" vm="433">
        <f>$T$25</f>
        <v>#VALUE!</v>
      </c>
      <c r="K36" s="2" t="e" vm="434">
        <f>$AF$39</f>
        <v>#VALUE!</v>
      </c>
      <c r="L36" s="2" t="e" vm="435">
        <f>$Z$7</f>
        <v>#VALUE!</v>
      </c>
      <c r="M36" s="2" t="e" vm="436">
        <f>$AI$41</f>
        <v>#VALUE!</v>
      </c>
      <c r="N36" s="5" t="e" vm="56">
        <f>IF(OR(
E36="TravelerAnemo",
E36="TravelerGeo",
E36="TravelerElectro",
E36="TravelerDendro",
E36="TravelerHydro",
E36="TravelerPyro",
E36="TravelerCryo"),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36" s="2" t="e" vm="437">
        <f>_xlfn.IMAGE(_xlfn.CONCAT("https://raw.githubusercontent.com/ItsCryp7iC/Genshin-Image-Hosting/main/",AF$1,"/",TalentBooksImg[[#This Row],[Name]],".png"),TalentBooksImg[[#This Row],[Name]])</f>
        <v>#VALUE!</v>
      </c>
      <c r="AG36" s="19" t="s">
        <v>423</v>
      </c>
      <c r="AI36" s="2" t="e" vm="438">
        <f>_xlfn.IMAGE(_xlfn.CONCAT("https://raw.githubusercontent.com/ItsCryp7iC/Genshin-Image-Hosting/main/",AI$1,"/",LocalSpecialtiesImg[[#This Row],[Name]],".png"),LocalSpecialtiesImg[[#This Row],[Name]])</f>
        <v>#VALUE!</v>
      </c>
      <c r="AJ36" s="2" t="s">
        <v>41</v>
      </c>
      <c r="AZ36" s="2" t="e" vm="439">
        <f>_xlfn.IMAGE(_xlfn.CONCAT("https://raw.githubusercontent.com/ItsCryp7iC/Genshin-Image-Hosting/main/",AZ$1,"/",WeaponsImg[[#This Row],[Name]],".png"),WeaponsImg[[#This Row],[Name]])</f>
        <v>#VALUE!</v>
      </c>
      <c r="BA36" s="2" t="s">
        <v>413</v>
      </c>
      <c r="BC36" s="2" t="e" vm="440">
        <f>_xlfn.IMAGE(_xlfn.CONCAT("https://raw.githubusercontent.com/ItsCryp7iC/Genshin-Image-Hosting/main/",BC$1,"/",WeaponMaterialsImg[[#This Row],[Name]],".png"),WeaponMaterialsImg[[#This Row],[Name]])</f>
        <v>#VALUE!</v>
      </c>
      <c r="BD36" s="2" t="s">
        <v>414</v>
      </c>
    </row>
    <row r="37" spans="4:56" ht="30" customHeight="1" x14ac:dyDescent="0.25">
      <c r="D37" s="4" t="e" vm="441">
        <f>_xlfn.IMAGE(_xlfn.CONCAT("https://raw.githubusercontent.com/ItsCryp7iC/Genshin-Image-Hosting/main/",D$1,"/",CharacterDetailsImg[[#This Row],[Name]],".png"),CharacterDetailsImg[[#This Row],[Name]])</f>
        <v>#VALUE!</v>
      </c>
      <c r="E37" s="2" t="s">
        <v>25</v>
      </c>
      <c r="F37" s="2" t="e" vm="348">
        <f t="shared" si="1"/>
        <v>#VALUE!</v>
      </c>
      <c r="G37" s="2" t="e" vm="91">
        <f>$AW$5</f>
        <v>#VALUE!</v>
      </c>
      <c r="H37" s="13">
        <v>4.8</v>
      </c>
      <c r="I37" s="2" t="e" vm="442">
        <f>$P$32</f>
        <v>#VALUE!</v>
      </c>
      <c r="J37" s="2" t="e" vm="443">
        <f>$T$23</f>
        <v>#VALUE!</v>
      </c>
      <c r="K37" s="2" t="e" vm="271">
        <f>$AF$36</f>
        <v>#VALUE!</v>
      </c>
      <c r="L37" s="2" t="e" vm="32">
        <f>$Z$13</f>
        <v>#VALUE!</v>
      </c>
      <c r="M37" s="2" t="e" vm="444">
        <f>$AI$36</f>
        <v>#VALUE!</v>
      </c>
      <c r="N37" s="5" t="e" vm="97">
        <f>IF(OR(
E37="TravelerAnemo",
E37="TravelerGeo",
E37="TravelerElectro",
E37="TravelerDendro",
E37="TravelerHydro",
E37="TravelerPyro",
E37="TravelerCryo"),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37" s="2" t="e" vm="445">
        <f>_xlfn.IMAGE(_xlfn.CONCAT("https://raw.githubusercontent.com/ItsCryp7iC/Genshin-Image-Hosting/main/",AF$1,"/",TalentBooksImg[[#This Row],[Name]],".png"),TalentBooksImg[[#This Row],[Name]])</f>
        <v>#VALUE!</v>
      </c>
      <c r="AG37" s="2" t="s">
        <v>417</v>
      </c>
      <c r="AI37" s="2" t="e" vm="446">
        <f>_xlfn.IMAGE(_xlfn.CONCAT("https://raw.githubusercontent.com/ItsCryp7iC/Genshin-Image-Hosting/main/",AI$1,"/",LocalSpecialtiesImg[[#This Row],[Name]],".png"),LocalSpecialtiesImg[[#This Row],[Name]])</f>
        <v>#VALUE!</v>
      </c>
      <c r="AJ37" s="2" t="s">
        <v>399</v>
      </c>
      <c r="AZ37" s="2" t="e" vm="447">
        <f>_xlfn.IMAGE(_xlfn.CONCAT("https://raw.githubusercontent.com/ItsCryp7iC/Genshin-Image-Hosting/main/",AZ$1,"/",WeaponsImg[[#This Row],[Name]],".png"),WeaponsImg[[#This Row],[Name]])</f>
        <v>#VALUE!</v>
      </c>
      <c r="BA37" s="2" t="s">
        <v>419</v>
      </c>
      <c r="BC37" s="2" t="e" vm="448">
        <f>_xlfn.IMAGE(_xlfn.CONCAT("https://raw.githubusercontent.com/ItsCryp7iC/Genshin-Image-Hosting/main/",BC$1,"/",WeaponMaterialsImg[[#This Row],[Name]],".png"),WeaponMaterialsImg[[#This Row],[Name]])</f>
        <v>#VALUE!</v>
      </c>
      <c r="BD37" s="2" t="s">
        <v>420</v>
      </c>
    </row>
    <row r="38" spans="4:56" ht="30" customHeight="1" x14ac:dyDescent="0.25">
      <c r="D38" s="4" t="e" vm="449">
        <f>_xlfn.IMAGE(_xlfn.CONCAT("https://raw.githubusercontent.com/ItsCryp7iC/Genshin-Image-Hosting/main/",D$1,"/",CharacterDetailsImg[[#This Row],[Name]],".png"),CharacterDetailsImg[[#This Row],[Name]])</f>
        <v>#VALUE!</v>
      </c>
      <c r="E38" s="2" t="s">
        <v>433</v>
      </c>
      <c r="F38" s="2" t="e" vm="348">
        <f t="shared" si="1"/>
        <v>#VALUE!</v>
      </c>
      <c r="G38" s="2" t="e" vm="112">
        <f>$AW$7</f>
        <v>#VALUE!</v>
      </c>
      <c r="H38" s="13">
        <v>1.1000000000000001</v>
      </c>
      <c r="I38" s="2" t="e" vm="337">
        <f>$P$7</f>
        <v>#VALUE!</v>
      </c>
      <c r="J38" s="2" t="e" vm="380">
        <f>$T$10</f>
        <v>#VALUE!</v>
      </c>
      <c r="K38" s="2" t="e" vm="351">
        <f>$AF$3</f>
        <v>#VALUE!</v>
      </c>
      <c r="L38" s="2" t="e" vm="435">
        <f>$Z$7</f>
        <v>#VALUE!</v>
      </c>
      <c r="M38" s="2" t="e" vm="450">
        <f>$AI$16</f>
        <v>#VALUE!</v>
      </c>
      <c r="N38" s="5" t="e" vm="117">
        <f>IF(OR(
E38="TravelerAnemo",
E38="TravelerGeo",
E38="TravelerElectro",
E38="TravelerDendro",
E38="TravelerHydro",
E38="TravelerPyro",
E38="TravelerCryo"),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38" s="2" t="e" vm="451">
        <f>_xlfn.IMAGE(_xlfn.CONCAT("https://raw.githubusercontent.com/ItsCryp7iC/Genshin-Image-Hosting/main/",AF$1,"/",TalentBooksImg[[#This Row],[Name]],".png"),TalentBooksImg[[#This Row],[Name]])</f>
        <v>#VALUE!</v>
      </c>
      <c r="AG38" s="19" t="s">
        <v>411</v>
      </c>
      <c r="AI38" s="2" t="e" vm="452">
        <f>_xlfn.IMAGE(_xlfn.CONCAT("https://raw.githubusercontent.com/ItsCryp7iC/Genshin-Image-Hosting/main/",AI$1,"/",LocalSpecialtiesImg[[#This Row],[Name]],".png"),LocalSpecialtiesImg[[#This Row],[Name]])</f>
        <v>#VALUE!</v>
      </c>
      <c r="AJ38" s="2" t="s">
        <v>101</v>
      </c>
      <c r="AZ38" s="2" t="e" vm="453">
        <f>_xlfn.IMAGE(_xlfn.CONCAT("https://raw.githubusercontent.com/ItsCryp7iC/Genshin-Image-Hosting/main/",AZ$1,"/",WeaponsImg[[#This Row],[Name]],".png"),WeaponsImg[[#This Row],[Name]])</f>
        <v>#VALUE!</v>
      </c>
      <c r="BA38" s="2" t="s">
        <v>425</v>
      </c>
      <c r="BC38" s="2" t="e" vm="454">
        <f>_xlfn.IMAGE(_xlfn.CONCAT("https://raw.githubusercontent.com/ItsCryp7iC/Genshin-Image-Hosting/main/",BC$1,"/",WeaponMaterialsImg[[#This Row],[Name]],".png"),WeaponMaterialsImg[[#This Row],[Name]])</f>
        <v>#VALUE!</v>
      </c>
      <c r="BD38" s="2" t="s">
        <v>426</v>
      </c>
    </row>
    <row r="39" spans="4:56" ht="30" customHeight="1" x14ac:dyDescent="0.25">
      <c r="D39" s="4" t="e" vm="455">
        <f>_xlfn.IMAGE(_xlfn.CONCAT("https://raw.githubusercontent.com/ItsCryp7iC/Genshin-Image-Hosting/main/",D$1,"/",CharacterDetailsImg[[#This Row],[Name]],".png"),CharacterDetailsImg[[#This Row],[Name]])</f>
        <v>#VALUE!</v>
      </c>
      <c r="E39" s="2" t="s">
        <v>439</v>
      </c>
      <c r="F39" s="2" t="e" vm="348">
        <f t="shared" si="1"/>
        <v>#VALUE!</v>
      </c>
      <c r="G39" s="2" t="e" vm="28">
        <f>$AW$6</f>
        <v>#VALUE!</v>
      </c>
      <c r="H39" s="13">
        <v>3</v>
      </c>
      <c r="I39" s="2" t="e" vm="370">
        <f>$P$19</f>
        <v>#VALUE!</v>
      </c>
      <c r="J39" s="2" t="e" vm="456">
        <f>$T$20</f>
        <v>#VALUE!</v>
      </c>
      <c r="K39" s="2" t="e" vm="391">
        <f>$AF$30</f>
        <v>#VALUE!</v>
      </c>
      <c r="L39" s="2" t="e" vm="272">
        <f>$Z$12</f>
        <v>#VALUE!</v>
      </c>
      <c r="M39" s="2" t="e" vm="251">
        <f>$AI$31</f>
        <v>#VALUE!</v>
      </c>
      <c r="N39" s="5" t="e" vm="34">
        <f>IF(OR(
E39="TravelerAnemo",
E39="TravelerGeo",
E39="TravelerElectro",
E39="TravelerDendro",
E39="TravelerHydro",
E39="TravelerPyro",
E39="TravelerCryo"),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39" s="2" t="e" vm="457">
        <f>_xlfn.IMAGE(_xlfn.CONCAT("https://raw.githubusercontent.com/ItsCryp7iC/Genshin-Image-Hosting/main/",AF$1,"/",TalentBooksImg[[#This Row],[Name]],".png"),TalentBooksImg[[#This Row],[Name]])</f>
        <v>#VALUE!</v>
      </c>
      <c r="AG39" s="19" t="s">
        <v>469</v>
      </c>
      <c r="AI39" s="2" t="e" vm="458">
        <f>_xlfn.IMAGE(_xlfn.CONCAT("https://raw.githubusercontent.com/ItsCryp7iC/Genshin-Image-Hosting/main/",AI$1,"/",LocalSpecialtiesImg[[#This Row],[Name]],".png"),LocalSpecialtiesImg[[#This Row],[Name]])</f>
        <v>#VALUE!</v>
      </c>
      <c r="AJ39" s="2" t="s">
        <v>357</v>
      </c>
      <c r="AZ39" s="2" t="e" vm="459">
        <f>_xlfn.IMAGE(_xlfn.CONCAT("https://raw.githubusercontent.com/ItsCryp7iC/Genshin-Image-Hosting/main/",AZ$1,"/",WeaponsImg[[#This Row],[Name]],".png"),WeaponsImg[[#This Row],[Name]])</f>
        <v>#VALUE!</v>
      </c>
      <c r="BA39" s="2" t="s">
        <v>431</v>
      </c>
      <c r="BC39" s="2" t="e" vm="460">
        <f>_xlfn.IMAGE(_xlfn.CONCAT("https://raw.githubusercontent.com/ItsCryp7iC/Genshin-Image-Hosting/main/",BC$1,"/",WeaponMaterialsImg[[#This Row],[Name]],".png"),WeaponMaterialsImg[[#This Row],[Name]])</f>
        <v>#VALUE!</v>
      </c>
      <c r="BD39" s="2" t="s">
        <v>432</v>
      </c>
    </row>
    <row r="40" spans="4:56" ht="30" customHeight="1" x14ac:dyDescent="0.25">
      <c r="D40" s="4" t="e" vm="461">
        <f>_xlfn.IMAGE(_xlfn.CONCAT("https://raw.githubusercontent.com/ItsCryp7iC/Genshin-Image-Hosting/main/",D$1,"/",CharacterDetailsImg[[#This Row],[Name]],".png"),CharacterDetailsImg[[#This Row],[Name]])</f>
        <v>#VALUE!</v>
      </c>
      <c r="E40" s="2" t="s">
        <v>444</v>
      </c>
      <c r="F40" s="2" t="e" vm="348">
        <f t="shared" si="1"/>
        <v>#VALUE!</v>
      </c>
      <c r="G40" s="2" t="e" vm="131">
        <f>$AW$3</f>
        <v>#VALUE!</v>
      </c>
      <c r="H40" s="13">
        <v>1</v>
      </c>
      <c r="I40" s="2" t="e" vm="132">
        <f>$P$3</f>
        <v>#VALUE!</v>
      </c>
      <c r="J40" s="2" t="e" vm="282">
        <f>$T$6</f>
        <v>#VALUE!</v>
      </c>
      <c r="K40" s="2" t="e" vm="9">
        <f>$AF$9</f>
        <v>#VALUE!</v>
      </c>
      <c r="L40" s="2" t="e" vm="462">
        <f>$Z$3</f>
        <v>#VALUE!</v>
      </c>
      <c r="M40" s="2" t="e" vm="11">
        <f>$AI$5</f>
        <v>#VALUE!</v>
      </c>
      <c r="N40" s="5" t="e" vm="135">
        <f>IF(OR(
E40="TravelerAnemo",
E40="TravelerGeo",
E40="TravelerElectro",
E40="TravelerDendro",
E40="TravelerHydro",
E40="TravelerPyro",
E40="TravelerCryo"),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0" s="2" t="e" vm="463">
        <f>_xlfn.IMAGE(_xlfn.CONCAT("https://raw.githubusercontent.com/ItsCryp7iC/Genshin-Image-Hosting/main/",AF$1,"/",TalentBooksImg[[#This Row],[Name]],".png"),TalentBooksImg[[#This Row],[Name]])</f>
        <v>#VALUE!</v>
      </c>
      <c r="AG40" s="2" t="s">
        <v>465</v>
      </c>
      <c r="AI40" s="2" t="e" vm="464">
        <f>_xlfn.IMAGE(_xlfn.CONCAT("https://raw.githubusercontent.com/ItsCryp7iC/Genshin-Image-Hosting/main/",AI$1,"/",LocalSpecialtiesImg[[#This Row],[Name]],".png"),LocalSpecialtiesImg[[#This Row],[Name]])</f>
        <v>#VALUE!</v>
      </c>
      <c r="AJ40" s="2" t="s">
        <v>255</v>
      </c>
      <c r="AZ40" s="2" t="e" vm="465">
        <f>_xlfn.IMAGE(_xlfn.CONCAT("https://raw.githubusercontent.com/ItsCryp7iC/Genshin-Image-Hosting/main/",AZ$1,"/",WeaponsImg[[#This Row],[Name]],".png"),WeaponsImg[[#This Row],[Name]])</f>
        <v>#VALUE!</v>
      </c>
      <c r="BA40" s="2" t="s">
        <v>437</v>
      </c>
      <c r="BC40" s="2" t="e" vm="466">
        <f>_xlfn.IMAGE(_xlfn.CONCAT("https://raw.githubusercontent.com/ItsCryp7iC/Genshin-Image-Hosting/main/",BC$1,"/",WeaponMaterialsImg[[#This Row],[Name]],".png"),WeaponMaterialsImg[[#This Row],[Name]])</f>
        <v>#VALUE!</v>
      </c>
      <c r="BD40" s="2" t="s">
        <v>438</v>
      </c>
    </row>
    <row r="41" spans="4:56" ht="30" customHeight="1" x14ac:dyDescent="0.25">
      <c r="D41" s="4" t="e" vm="467">
        <f>_xlfn.IMAGE(_xlfn.CONCAT("https://raw.githubusercontent.com/ItsCryp7iC/Genshin-Image-Hosting/main/",D$1,"/",CharacterDetailsImg[[#This Row],[Name]],".png"),CharacterDetailsImg[[#This Row],[Name]])</f>
        <v>#VALUE!</v>
      </c>
      <c r="E41" s="2" t="s">
        <v>449</v>
      </c>
      <c r="F41" s="2" t="e" vm="348">
        <f t="shared" si="1"/>
        <v>#VALUE!</v>
      </c>
      <c r="G41" s="2" t="e" vm="112">
        <f>$AW$7</f>
        <v>#VALUE!</v>
      </c>
      <c r="H41" s="13">
        <v>2.7</v>
      </c>
      <c r="I41" s="2" t="e" vm="239">
        <f>$P$18</f>
        <v>#VALUE!</v>
      </c>
      <c r="J41" s="2" t="e" vm="150">
        <f>$T$14</f>
        <v>#VALUE!</v>
      </c>
      <c r="K41" s="2" t="e" vm="212">
        <f>$AF$12</f>
        <v>#VALUE!</v>
      </c>
      <c r="L41" s="2" t="e" vm="435">
        <f>$Z$7</f>
        <v>#VALUE!</v>
      </c>
      <c r="M41" s="2" t="e" vm="450">
        <f>$AI$16</f>
        <v>#VALUE!</v>
      </c>
      <c r="N41" s="5" t="e" vm="117">
        <f>IF(OR(
E41="TravelerAnemo",
E41="TravelerGeo",
E41="TravelerElectro",
E41="TravelerDendro",
E41="TravelerHydro",
E41="TravelerPyro",
E41="TravelerCryo"),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1" s="2" t="e" vm="468">
        <f>_xlfn.IMAGE(_xlfn.CONCAT("https://raw.githubusercontent.com/ItsCryp7iC/Genshin-Image-Hosting/main/",AF$1,"/",TalentBooksImg[[#This Row],[Name]],".png"),TalentBooksImg[[#This Row],[Name]])</f>
        <v>#VALUE!</v>
      </c>
      <c r="AG41" s="19" t="s">
        <v>460</v>
      </c>
      <c r="AI41" s="2" t="e" vm="469">
        <f>_xlfn.IMAGE(_xlfn.CONCAT("https://raw.githubusercontent.com/ItsCryp7iC/Genshin-Image-Hosting/main/",AI$1,"/",LocalSpecialtiesImg[[#This Row],[Name]],".png"),LocalSpecialtiesImg[[#This Row],[Name]])</f>
        <v>#VALUE!</v>
      </c>
      <c r="AJ41" s="2" t="s">
        <v>348</v>
      </c>
      <c r="AZ41" s="2" t="e" vm="470">
        <f>_xlfn.IMAGE(_xlfn.CONCAT("https://raw.githubusercontent.com/ItsCryp7iC/Genshin-Image-Hosting/main/",AZ$1,"/",WeaponsImg[[#This Row],[Name]],".png"),WeaponsImg[[#This Row],[Name]])</f>
        <v>#VALUE!</v>
      </c>
      <c r="BA41" s="2" t="s">
        <v>442</v>
      </c>
      <c r="BC41" s="2" t="e" vm="471">
        <f>_xlfn.IMAGE(_xlfn.CONCAT("https://raw.githubusercontent.com/ItsCryp7iC/Genshin-Image-Hosting/main/",BC$1,"/",WeaponMaterialsImg[[#This Row],[Name]],".png"),WeaponMaterialsImg[[#This Row],[Name]])</f>
        <v>#VALUE!</v>
      </c>
      <c r="BD41" s="2" t="s">
        <v>443</v>
      </c>
    </row>
    <row r="42" spans="4:56" ht="30" customHeight="1" x14ac:dyDescent="0.25">
      <c r="D42" s="4" t="e" vm="472">
        <f>_xlfn.IMAGE(_xlfn.CONCAT("https://raw.githubusercontent.com/ItsCryp7iC/Genshin-Image-Hosting/main/",D$1,"/",CharacterDetailsImg[[#This Row],[Name]],".png"),CharacterDetailsImg[[#This Row],[Name]])</f>
        <v>#VALUE!</v>
      </c>
      <c r="E42" s="2" t="s">
        <v>454</v>
      </c>
      <c r="F42" s="2" t="e" vm="348">
        <f t="shared" si="1"/>
        <v>#VALUE!</v>
      </c>
      <c r="G42" s="2" t="e" vm="50">
        <f>$AW$8</f>
        <v>#VALUE!</v>
      </c>
      <c r="H42" s="13">
        <v>2</v>
      </c>
      <c r="I42" s="2" t="e" vm="473">
        <f>$P$13</f>
        <v>#VALUE!</v>
      </c>
      <c r="J42" s="2" t="e" vm="311">
        <f>$T$12</f>
        <v>#VALUE!</v>
      </c>
      <c r="K42" s="2" t="e" vm="226">
        <f>$AF$21</f>
        <v>#VALUE!</v>
      </c>
      <c r="L42" s="2" t="e" vm="10">
        <f>$Z$5</f>
        <v>#VALUE!</v>
      </c>
      <c r="M42" s="2" t="e" vm="241">
        <f>$AI$24</f>
        <v>#VALUE!</v>
      </c>
      <c r="N42" s="5" t="e" vm="56">
        <f>IF(OR(
E42="TravelerAnemo",
E42="TravelerGeo",
E42="TravelerElectro",
E42="TravelerDendro",
E42="TravelerHydro",
E42="TravelerPyro",
E42="TravelerCryo"),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2" s="2" t="e" vm="474">
        <f>_xlfn.IMAGE(_xlfn.CONCAT("https://raw.githubusercontent.com/ItsCryp7iC/Genshin-Image-Hosting/main/",AF$1,"/",TalentBooksImg[[#This Row],[Name]],".png"),TalentBooksImg[[#This Row],[Name]])</f>
        <v>#VALUE!</v>
      </c>
      <c r="AG42" s="19" t="s">
        <v>441</v>
      </c>
      <c r="AI42" s="2" t="e" vm="475">
        <f>_xlfn.IMAGE(_xlfn.CONCAT("https://raw.githubusercontent.com/ItsCryp7iC/Genshin-Image-Hosting/main/",AI$1,"/",LocalSpecialtiesImg[[#This Row],[Name]],".png"),LocalSpecialtiesImg[[#This Row],[Name]])</f>
        <v>#VALUE!</v>
      </c>
      <c r="AJ42" s="2" t="s">
        <v>264</v>
      </c>
      <c r="AZ42" s="2" t="e" vm="476">
        <f>_xlfn.IMAGE(_xlfn.CONCAT("https://raw.githubusercontent.com/ItsCryp7iC/Genshin-Image-Hosting/main/",AZ$1,"/",WeaponsImg[[#This Row],[Name]],".png"),WeaponsImg[[#This Row],[Name]])</f>
        <v>#VALUE!</v>
      </c>
      <c r="BA42" s="2" t="s">
        <v>447</v>
      </c>
      <c r="BC42" s="2" t="e" vm="477">
        <f>_xlfn.IMAGE(_xlfn.CONCAT("https://raw.githubusercontent.com/ItsCryp7iC/Genshin-Image-Hosting/main/",BC$1,"/",WeaponMaterialsImg[[#This Row],[Name]],".png"),WeaponMaterialsImg[[#This Row],[Name]])</f>
        <v>#VALUE!</v>
      </c>
      <c r="BD42" s="2" t="s">
        <v>448</v>
      </c>
    </row>
    <row r="43" spans="4:56" ht="30" customHeight="1" x14ac:dyDescent="0.25">
      <c r="D43" s="4" t="e" vm="478">
        <f>_xlfn.IMAGE(_xlfn.CONCAT("https://raw.githubusercontent.com/ItsCryp7iC/Genshin-Image-Hosting/main/",D$1,"/",CharacterDetailsImg[[#This Row],[Name]],".png"),CharacterDetailsImg[[#This Row],[Name]])</f>
        <v>#VALUE!</v>
      </c>
      <c r="E43" s="2" t="s">
        <v>459</v>
      </c>
      <c r="F43" s="2" t="e" vm="479">
        <f t="shared" ref="F43:F57" si="2">$AT$4</f>
        <v>#VALUE!</v>
      </c>
      <c r="G43" s="2" t="e" vm="6">
        <f>$AW$4</f>
        <v>#VALUE!</v>
      </c>
      <c r="H43" s="13">
        <v>2.2999999999999998</v>
      </c>
      <c r="I43" s="2" t="e" vm="480">
        <f>$P$16</f>
        <v>#VALUE!</v>
      </c>
      <c r="J43" s="2" t="e" vm="425">
        <f>$T$17</f>
        <v>#VALUE!</v>
      </c>
      <c r="K43" s="2" t="e" vm="183">
        <f>$AF$24</f>
        <v>#VALUE!</v>
      </c>
      <c r="L43" s="2" t="e" vm="462">
        <f>$Z$3</f>
        <v>#VALUE!</v>
      </c>
      <c r="M43" s="2" t="e" vm="481">
        <f>$AI$20</f>
        <v>#VALUE!</v>
      </c>
      <c r="N43" s="5" t="e" vm="12">
        <f>IF(OR(
E43="TravelerAnemo",
E43="TravelerGeo",
E43="TravelerElectro",
E43="TravelerDendro",
E43="TravelerHydro",
E43="TravelerPyro",
E43="TravelerCryo"),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3" s="2" t="e" vm="482">
        <f>_xlfn.IMAGE(_xlfn.CONCAT("https://raw.githubusercontent.com/ItsCryp7iC/Genshin-Image-Hosting/main/",AF$1,"/",TalentBooksImg[[#This Row],[Name]],".png"),TalentBooksImg[[#This Row],[Name]])</f>
        <v>#VALUE!</v>
      </c>
      <c r="AG43" s="2" t="s">
        <v>435</v>
      </c>
      <c r="AI43" s="2" t="e" vm="483">
        <f>_xlfn.IMAGE(_xlfn.CONCAT("https://raw.githubusercontent.com/ItsCryp7iC/Genshin-Image-Hosting/main/",AI$1,"/",LocalSpecialtiesImg[[#This Row],[Name]],".png"),LocalSpecialtiesImg[[#This Row],[Name]])</f>
        <v>#VALUE!</v>
      </c>
      <c r="AJ43" s="2" t="s">
        <v>244</v>
      </c>
      <c r="AZ43" s="2" t="e" vm="484">
        <f>_xlfn.IMAGE(_xlfn.CONCAT("https://raw.githubusercontent.com/ItsCryp7iC/Genshin-Image-Hosting/main/",AZ$1,"/",WeaponsImg[[#This Row],[Name]],".png"),WeaponsImg[[#This Row],[Name]])</f>
        <v>#VALUE!</v>
      </c>
      <c r="BA43" s="2" t="s">
        <v>452</v>
      </c>
      <c r="BC43" s="2" t="e" vm="485">
        <f>_xlfn.IMAGE(_xlfn.CONCAT("https://raw.githubusercontent.com/ItsCryp7iC/Genshin-Image-Hosting/main/",BC$1,"/",WeaponMaterialsImg[[#This Row],[Name]],".png"),WeaponMaterialsImg[[#This Row],[Name]])</f>
        <v>#VALUE!</v>
      </c>
      <c r="BD43" s="2" t="s">
        <v>453</v>
      </c>
    </row>
    <row r="44" spans="4:56" ht="30" customHeight="1" x14ac:dyDescent="0.25">
      <c r="D44" s="4" t="e" vm="486">
        <f>_xlfn.IMAGE(_xlfn.CONCAT("https://raw.githubusercontent.com/ItsCryp7iC/Genshin-Image-Hosting/main/",D$1,"/",CharacterDetailsImg[[#This Row],[Name]],".png"),CharacterDetailsImg[[#This Row],[Name]])</f>
        <v>#VALUE!</v>
      </c>
      <c r="E44" s="2" t="s">
        <v>464</v>
      </c>
      <c r="F44" s="2" t="e" vm="479">
        <f t="shared" si="2"/>
        <v>#VALUE!</v>
      </c>
      <c r="G44" s="2" t="e" vm="91">
        <f>$AW$5</f>
        <v>#VALUE!</v>
      </c>
      <c r="H44" s="13">
        <v>1</v>
      </c>
      <c r="I44" s="2" t="e" vm="210">
        <f>$P$4</f>
        <v>#VALUE!</v>
      </c>
      <c r="J44" s="3" t="e" vm="292">
        <f>$T$5</f>
        <v>#VALUE!</v>
      </c>
      <c r="K44" s="3" t="e" vm="338">
        <f>$AF$18</f>
        <v>#VALUE!</v>
      </c>
      <c r="L44" s="3" t="e" vm="54">
        <f>$Z$8</f>
        <v>#VALUE!</v>
      </c>
      <c r="M44" s="2" t="e" vm="487">
        <f>$AI$12</f>
        <v>#VALUE!</v>
      </c>
      <c r="N44" s="5" t="e" vm="97">
        <f>IF(OR(
E44="TravelerAnemo",
E44="TravelerGeo",
E44="TravelerElectro",
E44="TravelerDendro",
E44="TravelerHydro",
E44="TravelerPyro",
E44="TravelerCryo"),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4" s="2" t="e" vm="488">
        <f>_xlfn.IMAGE(_xlfn.CONCAT("https://raw.githubusercontent.com/ItsCryp7iC/Genshin-Image-Hosting/main/",AF$1,"/",TalentBooksImg[[#This Row],[Name]],".png"),TalentBooksImg[[#This Row],[Name]])</f>
        <v>#VALUE!</v>
      </c>
      <c r="AG44" s="19" t="s">
        <v>429</v>
      </c>
      <c r="AI44" s="2" t="e" vm="489">
        <f>_xlfn.IMAGE(_xlfn.CONCAT("https://raw.githubusercontent.com/ItsCryp7iC/Genshin-Image-Hosting/main/",AI$1,"/",LocalSpecialtiesImg[[#This Row],[Name]],".png"),LocalSpecialtiesImg[[#This Row],[Name]])</f>
        <v>#VALUE!</v>
      </c>
      <c r="AJ44" s="2" t="s">
        <v>436</v>
      </c>
      <c r="AZ44" s="2" t="e" vm="490">
        <f>_xlfn.IMAGE(_xlfn.CONCAT("https://raw.githubusercontent.com/ItsCryp7iC/Genshin-Image-Hosting/main/",AZ$1,"/",WeaponsImg[[#This Row],[Name]],".png"),WeaponsImg[[#This Row],[Name]])</f>
        <v>#VALUE!</v>
      </c>
      <c r="BA44" s="2" t="s">
        <v>457</v>
      </c>
      <c r="BC44" s="2" t="e" vm="491">
        <f>_xlfn.IMAGE(_xlfn.CONCAT("https://raw.githubusercontent.com/ItsCryp7iC/Genshin-Image-Hosting/main/",BC$1,"/",WeaponMaterialsImg[[#This Row],[Name]],".png"),WeaponMaterialsImg[[#This Row],[Name]])</f>
        <v>#VALUE!</v>
      </c>
      <c r="BD44" s="2" t="s">
        <v>458</v>
      </c>
    </row>
    <row r="45" spans="4:56" ht="30" customHeight="1" x14ac:dyDescent="0.25">
      <c r="D45" s="4" t="e" vm="492">
        <f>_xlfn.IMAGE(_xlfn.CONCAT("https://raw.githubusercontent.com/ItsCryp7iC/Genshin-Image-Hosting/main/",D$1,"/",CharacterDetailsImg[[#This Row],[Name]],".png"),CharacterDetailsImg[[#This Row],[Name]])</f>
        <v>#VALUE!</v>
      </c>
      <c r="E45" s="2" t="s">
        <v>468</v>
      </c>
      <c r="F45" s="2" t="e" vm="479">
        <f t="shared" si="2"/>
        <v>#VALUE!</v>
      </c>
      <c r="G45" s="2" t="e" vm="165">
        <f>$AW$9</f>
        <v>#VALUE!</v>
      </c>
      <c r="H45" s="13">
        <v>1</v>
      </c>
      <c r="I45" s="3" t="e" vm="166">
        <f>$P$5</f>
        <v>#VALUE!</v>
      </c>
      <c r="J45" s="3" t="e" vm="292">
        <f>$T$5</f>
        <v>#VALUE!</v>
      </c>
      <c r="K45" s="3" t="e" vm="151">
        <f>$AF$15</f>
        <v>#VALUE!</v>
      </c>
      <c r="L45" s="3" t="e" vm="133">
        <f>$Z$4</f>
        <v>#VALUE!</v>
      </c>
      <c r="M45" s="3" t="e" vm="213">
        <f>$AI$18</f>
        <v>#VALUE!</v>
      </c>
      <c r="N45" s="5" t="e" vm="169">
        <f>IF(OR(
E45="TravelerAnemo",
E45="TravelerGeo",
E45="TravelerElectro",
E45="TravelerDendro",
E45="TravelerHydro",
E45="TravelerPyro",
E45="TravelerCryo"),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5" s="2" t="e" vm="493">
        <f>_xlfn.IMAGE(_xlfn.CONCAT("https://raw.githubusercontent.com/ItsCryp7iC/Genshin-Image-Hosting/main/",AF$1,"/",TalentBooksImg[[#This Row],[Name]],".png"),TalentBooksImg[[#This Row],[Name]])</f>
        <v>#VALUE!</v>
      </c>
      <c r="AG45" s="19" t="s">
        <v>455</v>
      </c>
      <c r="AI45" s="2" t="e" vm="494">
        <f>_xlfn.IMAGE(_xlfn.CONCAT("https://raw.githubusercontent.com/ItsCryp7iC/Genshin-Image-Hosting/main/",AI$1,"/",LocalSpecialtiesImg[[#This Row],[Name]],".png"),LocalSpecialtiesImg[[#This Row],[Name]])</f>
        <v>#VALUE!</v>
      </c>
      <c r="AJ45" s="2" t="s">
        <v>424</v>
      </c>
      <c r="AZ45" s="2" t="e" vm="495">
        <f>_xlfn.IMAGE(_xlfn.CONCAT("https://raw.githubusercontent.com/ItsCryp7iC/Genshin-Image-Hosting/main/",AZ$1,"/",WeaponsImg[[#This Row],[Name]],".png"),WeaponsImg[[#This Row],[Name]])</f>
        <v>#VALUE!</v>
      </c>
      <c r="BA45" s="2" t="s">
        <v>462</v>
      </c>
      <c r="BC45" s="2" t="e" vm="496">
        <f>_xlfn.IMAGE(_xlfn.CONCAT("https://raw.githubusercontent.com/ItsCryp7iC/Genshin-Image-Hosting/main/",BC$1,"/",WeaponMaterialsImg[[#This Row],[Name]],".png"),WeaponMaterialsImg[[#This Row],[Name]])</f>
        <v>#VALUE!</v>
      </c>
      <c r="BD45" s="2" t="s">
        <v>463</v>
      </c>
    </row>
    <row r="46" spans="4:56" ht="30" customHeight="1" x14ac:dyDescent="0.25">
      <c r="D46" s="4" t="e" vm="497">
        <f>_xlfn.IMAGE(_xlfn.CONCAT("https://raw.githubusercontent.com/ItsCryp7iC/Genshin-Image-Hosting/main/",D$1,"/",CharacterDetailsImg[[#This Row],[Name]],".png"),CharacterDetailsImg[[#This Row],[Name]])</f>
        <v>#VALUE!</v>
      </c>
      <c r="E46" s="2" t="s">
        <v>472</v>
      </c>
      <c r="F46" s="2" t="e" vm="479">
        <f t="shared" si="2"/>
        <v>#VALUE!</v>
      </c>
      <c r="G46" s="2" t="e" vm="50">
        <f>$AW$8</f>
        <v>#VALUE!</v>
      </c>
      <c r="H46" s="13">
        <v>3.5</v>
      </c>
      <c r="I46" s="2" t="e" vm="389">
        <f>$P$22</f>
        <v>#VALUE!</v>
      </c>
      <c r="J46" s="2" t="e" vm="390">
        <f>$T$21</f>
        <v>#VALUE!</v>
      </c>
      <c r="K46" s="2" t="e" vm="271">
        <f>$AF$36</f>
        <v>#VALUE!</v>
      </c>
      <c r="L46" s="3" t="e" vm="32">
        <f>$Z$13</f>
        <v>#VALUE!</v>
      </c>
      <c r="M46" s="2" t="e" vm="33">
        <f>$AI$34</f>
        <v>#VALUE!</v>
      </c>
      <c r="N46" s="5" t="e" vm="56">
        <f>IF(OR(
E46="TravelerAnemo",
E46="TravelerGeo",
E46="TravelerElectro",
E46="TravelerDendro",
E46="TravelerHydro",
E46="TravelerPyro",
E46="TravelerCryo"),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6" s="2" t="e" vm="498">
        <f>_xlfn.IMAGE(_xlfn.CONCAT("https://raw.githubusercontent.com/ItsCryp7iC/Genshin-Image-Hosting/main/",AF$1,"/",TalentBooksImg[[#This Row],[Name]],".png"),TalentBooksImg[[#This Row],[Name]])</f>
        <v>#VALUE!</v>
      </c>
      <c r="AG46" s="2" t="s">
        <v>450</v>
      </c>
      <c r="AZ46" s="2" t="e" vm="499">
        <f>_xlfn.IMAGE(_xlfn.CONCAT("https://raw.githubusercontent.com/ItsCryp7iC/Genshin-Image-Hosting/main/",AZ$1,"/",WeaponsImg[[#This Row],[Name]],".png"),WeaponsImg[[#This Row],[Name]])</f>
        <v>#VALUE!</v>
      </c>
      <c r="BA46" s="2" t="s">
        <v>466</v>
      </c>
      <c r="BC46" s="2" t="e" vm="500">
        <f>_xlfn.IMAGE(_xlfn.CONCAT("https://raw.githubusercontent.com/ItsCryp7iC/Genshin-Image-Hosting/main/",BC$1,"/",WeaponMaterialsImg[[#This Row],[Name]],".png"),WeaponMaterialsImg[[#This Row],[Name]])</f>
        <v>#VALUE!</v>
      </c>
      <c r="BD46" s="2" t="s">
        <v>467</v>
      </c>
    </row>
    <row r="47" spans="4:56" ht="30" customHeight="1" x14ac:dyDescent="0.25">
      <c r="D47" s="4" t="e" vm="501">
        <f>_xlfn.IMAGE(_xlfn.CONCAT("https://raw.githubusercontent.com/ItsCryp7iC/Genshin-Image-Hosting/main/",D$1,"/",CharacterDetailsImg[[#This Row],[Name]],".png"),CharacterDetailsImg[[#This Row],[Name]])</f>
        <v>#VALUE!</v>
      </c>
      <c r="E47" s="2" t="s">
        <v>475</v>
      </c>
      <c r="F47" s="2" t="e" vm="479">
        <f t="shared" si="2"/>
        <v>#VALUE!</v>
      </c>
      <c r="G47" s="2" t="e" vm="50">
        <f>$AW$8</f>
        <v>#VALUE!</v>
      </c>
      <c r="H47" s="13">
        <v>1</v>
      </c>
      <c r="I47" s="2" t="e" vm="51">
        <f>$P$6</f>
        <v>#VALUE!</v>
      </c>
      <c r="J47" s="2" t="e" vm="52">
        <f>$T$3</f>
        <v>#VALUE!</v>
      </c>
      <c r="K47" s="2" t="e" vm="53">
        <f>$AF$6</f>
        <v>#VALUE!</v>
      </c>
      <c r="L47" s="3" t="e" vm="435">
        <f>$Z$7</f>
        <v>#VALUE!</v>
      </c>
      <c r="M47" s="3" t="e" vm="361">
        <f>$AI$8</f>
        <v>#VALUE!</v>
      </c>
      <c r="N47" s="5" t="e" vm="56">
        <f>IF(OR(
E47="TravelerAnemo",
E47="TravelerGeo",
E47="TravelerElectro",
E47="TravelerDendro",
E47="TravelerHydro",
E47="TravelerPyro",
E47="TravelerCryo"),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7" s="2" t="e" vm="502">
        <f>_xlfn.IMAGE(_xlfn.CONCAT("https://raw.githubusercontent.com/ItsCryp7iC/Genshin-Image-Hosting/main/",AF$1,"/",TalentBooksImg[[#This Row],[Name]],".png"),TalentBooksImg[[#This Row],[Name]])</f>
        <v>#VALUE!</v>
      </c>
      <c r="AG47" s="19" t="s">
        <v>445</v>
      </c>
      <c r="AZ47" s="2" t="e" vm="503">
        <f>_xlfn.IMAGE(_xlfn.CONCAT("https://raw.githubusercontent.com/ItsCryp7iC/Genshin-Image-Hosting/main/",AZ$1,"/",WeaponsImg[[#This Row],[Name]],".png"),WeaponsImg[[#This Row],[Name]])</f>
        <v>#VALUE!</v>
      </c>
      <c r="BA47" s="2" t="s">
        <v>470</v>
      </c>
      <c r="BC47" s="2" t="e" vm="504">
        <f>_xlfn.IMAGE(_xlfn.CONCAT("https://raw.githubusercontent.com/ItsCryp7iC/Genshin-Image-Hosting/main/",BC$1,"/",WeaponMaterialsImg[[#This Row],[Name]],".png"),WeaponMaterialsImg[[#This Row],[Name]])</f>
        <v>#VALUE!</v>
      </c>
      <c r="BD47" s="2" t="s">
        <v>471</v>
      </c>
    </row>
    <row r="48" spans="4:56" ht="30" customHeight="1" x14ac:dyDescent="0.25">
      <c r="D48" s="4" t="e" vm="505">
        <f>_xlfn.IMAGE(_xlfn.CONCAT("https://raw.githubusercontent.com/ItsCryp7iC/Genshin-Image-Hosting/main/",D$1,"/",CharacterDetailsImg[[#This Row],[Name]],".png"),CharacterDetailsImg[[#This Row],[Name]])</f>
        <v>#VALUE!</v>
      </c>
      <c r="E48" s="2" t="s">
        <v>478</v>
      </c>
      <c r="F48" s="2" t="e" vm="479">
        <f t="shared" si="2"/>
        <v>#VALUE!</v>
      </c>
      <c r="G48" s="2" t="e" vm="91">
        <f>$AW$5</f>
        <v>#VALUE!</v>
      </c>
      <c r="H48" s="13">
        <v>3</v>
      </c>
      <c r="I48" s="2" t="e" vm="506">
        <f>$P$20</f>
        <v>#VALUE!</v>
      </c>
      <c r="J48" s="2" t="e" vm="182">
        <f>$T$13</f>
        <v>#VALUE!</v>
      </c>
      <c r="K48" s="2" t="e" vm="31">
        <f>$AF$33</f>
        <v>#VALUE!</v>
      </c>
      <c r="L48" s="2" t="e" vm="32">
        <f>$Z$13</f>
        <v>#VALUE!</v>
      </c>
      <c r="M48" s="2" t="e" vm="507">
        <f>$AI$32</f>
        <v>#VALUE!</v>
      </c>
      <c r="N48" s="5" t="e" vm="97">
        <f>IF(OR(
E48="TravelerAnemo",
E48="TravelerGeo",
E48="TravelerElectro",
E48="TravelerDendro",
E48="TravelerHydro",
E48="TravelerPyro",
E48="TravelerCryo"),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48" s="2" t="e" vm="508">
        <f>_xlfn.IMAGE(_xlfn.CONCAT("https://raw.githubusercontent.com/ItsCryp7iC/Genshin-Image-Hosting/main/",AZ$1,"/",WeaponsImg[[#This Row],[Name]],".png"),WeaponsImg[[#This Row],[Name]])</f>
        <v>#VALUE!</v>
      </c>
      <c r="BA48" s="2" t="s">
        <v>473</v>
      </c>
      <c r="BC48" s="2" t="e" vm="509">
        <f>_xlfn.IMAGE(_xlfn.CONCAT("https://raw.githubusercontent.com/ItsCryp7iC/Genshin-Image-Hosting/main/",BC$1,"/",WeaponMaterialsImg[[#This Row],[Name]],".png"),WeaponMaterialsImg[[#This Row],[Name]])</f>
        <v>#VALUE!</v>
      </c>
      <c r="BD48" s="2" t="s">
        <v>474</v>
      </c>
    </row>
    <row r="49" spans="4:56" ht="30" customHeight="1" x14ac:dyDescent="0.25">
      <c r="D49" s="4" t="e" vm="510">
        <f>_xlfn.IMAGE(_xlfn.CONCAT("https://raw.githubusercontent.com/ItsCryp7iC/Genshin-Image-Hosting/main/",D$1,"/",CharacterDetailsImg[[#This Row],[Name]],".png"),CharacterDetailsImg[[#This Row],[Name]])</f>
        <v>#VALUE!</v>
      </c>
      <c r="E49" s="2" t="s">
        <v>481</v>
      </c>
      <c r="F49" s="2" t="e" vm="479">
        <f t="shared" si="2"/>
        <v>#VALUE!</v>
      </c>
      <c r="G49" s="2" t="e" vm="165">
        <f>$AW$9</f>
        <v>#VALUE!</v>
      </c>
      <c r="H49" s="13">
        <v>1.5</v>
      </c>
      <c r="I49" s="2" t="e" vm="349">
        <f>$P$10</f>
        <v>#VALUE!</v>
      </c>
      <c r="J49" s="2" t="e" vm="311">
        <f>$T$12</f>
        <v>#VALUE!</v>
      </c>
      <c r="K49" s="2" t="e" vm="53">
        <f>$AF$6</f>
        <v>#VALUE!</v>
      </c>
      <c r="L49" s="3" t="e" vm="133">
        <f>$Z$4</f>
        <v>#VALUE!</v>
      </c>
      <c r="M49" s="2" t="e" vm="134">
        <f>$AI$10</f>
        <v>#VALUE!</v>
      </c>
      <c r="N49" s="5" t="e" vm="169">
        <f>IF(OR(
E49="TravelerAnemo",
E49="TravelerGeo",
E49="TravelerElectro",
E49="TravelerDendro",
E49="TravelerHydro",
E49="TravelerPyro",
E49="TravelerCryo"),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49" s="2" t="e" vm="511">
        <f>_xlfn.IMAGE(_xlfn.CONCAT("https://raw.githubusercontent.com/ItsCryp7iC/Genshin-Image-Hosting/main/",AZ$1,"/",WeaponsImg[[#This Row],[Name]],".png"),WeaponsImg[[#This Row],[Name]])</f>
        <v>#VALUE!</v>
      </c>
      <c r="BA49" s="2" t="s">
        <v>476</v>
      </c>
      <c r="BC49" s="2" t="e" vm="512">
        <f>_xlfn.IMAGE(_xlfn.CONCAT("https://raw.githubusercontent.com/ItsCryp7iC/Genshin-Image-Hosting/main/",BC$1,"/",WeaponMaterialsImg[[#This Row],[Name]],".png"),WeaponMaterialsImg[[#This Row],[Name]])</f>
        <v>#VALUE!</v>
      </c>
      <c r="BD49" s="2" t="s">
        <v>477</v>
      </c>
    </row>
    <row r="50" spans="4:56" ht="30" customHeight="1" x14ac:dyDescent="0.25">
      <c r="D50" s="4" t="e" vm="513">
        <f>_xlfn.IMAGE(_xlfn.CONCAT("https://raw.githubusercontent.com/ItsCryp7iC/Genshin-Image-Hosting/main/",D$1,"/",CharacterDetailsImg[[#This Row],[Name]],".png"),CharacterDetailsImg[[#This Row],[Name]])</f>
        <v>#VALUE!</v>
      </c>
      <c r="E50" s="2" t="s">
        <v>484</v>
      </c>
      <c r="F50" s="2" t="e" vm="479">
        <f t="shared" si="2"/>
        <v>#VALUE!</v>
      </c>
      <c r="G50" s="2" t="e" vm="165">
        <f>$AW$9</f>
        <v>#VALUE!</v>
      </c>
      <c r="H50" s="13">
        <v>4</v>
      </c>
      <c r="I50" s="2" t="e" vm="514">
        <f>$P$27</f>
        <v>#VALUE!</v>
      </c>
      <c r="J50" s="2" t="e" vm="328">
        <f>$T$24</f>
        <v>#VALUE!</v>
      </c>
      <c r="K50" s="2" t="e" vm="94">
        <f>$AF$42</f>
        <v>#VALUE!</v>
      </c>
      <c r="L50" s="2" t="e" vm="95">
        <f>$Z$14</f>
        <v>#VALUE!</v>
      </c>
      <c r="M50" s="2" t="e" vm="515">
        <f>$AI$39</f>
        <v>#VALUE!</v>
      </c>
      <c r="N50" s="5" t="e" vm="169">
        <f>IF(OR(
E50="TravelerAnemo",
E50="TravelerGeo",
E50="TravelerElectro",
E50="TravelerDendro",
E50="TravelerHydro",
E50="TravelerPyro",
E50="TravelerCryo"),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0" s="2" t="e" vm="516">
        <f>_xlfn.IMAGE(_xlfn.CONCAT("https://raw.githubusercontent.com/ItsCryp7iC/Genshin-Image-Hosting/main/",AZ$1,"/",WeaponsImg[[#This Row],[Name]],".png"),WeaponsImg[[#This Row],[Name]])</f>
        <v>#VALUE!</v>
      </c>
      <c r="BA50" s="2" t="s">
        <v>479</v>
      </c>
      <c r="BC50" s="2" t="e" vm="517">
        <f>_xlfn.IMAGE(_xlfn.CONCAT("https://raw.githubusercontent.com/ItsCryp7iC/Genshin-Image-Hosting/main/",BC$1,"/",WeaponMaterialsImg[[#This Row],[Name]],".png"),WeaponMaterialsImg[[#This Row],[Name]])</f>
        <v>#VALUE!</v>
      </c>
      <c r="BD50" s="2" t="s">
        <v>480</v>
      </c>
    </row>
    <row r="51" spans="4:56" ht="30" customHeight="1" x14ac:dyDescent="0.25">
      <c r="D51" s="4" t="e" vm="518">
        <f>_xlfn.IMAGE(_xlfn.CONCAT("https://raw.githubusercontent.com/ItsCryp7iC/Genshin-Image-Hosting/main/",D$1,"/",CharacterDetailsImg[[#This Row],[Name]],".png"),CharacterDetailsImg[[#This Row],[Name]])</f>
        <v>#VALUE!</v>
      </c>
      <c r="E51" s="2" t="s">
        <v>487</v>
      </c>
      <c r="F51" s="2" t="e" vm="479">
        <f t="shared" si="2"/>
        <v>#VALUE!</v>
      </c>
      <c r="G51" s="2" t="e" vm="50">
        <f>$AW$8</f>
        <v>#VALUE!</v>
      </c>
      <c r="H51" s="13">
        <v>4.4000000000000004</v>
      </c>
      <c r="I51" s="2" t="e" vm="432">
        <f>$P$28</f>
        <v>#VALUE!</v>
      </c>
      <c r="J51" s="2" t="e" vm="114">
        <f>$T$29</f>
        <v>#VALUE!</v>
      </c>
      <c r="K51" s="2" t="e" vm="212">
        <f>$AF$12</f>
        <v>#VALUE!</v>
      </c>
      <c r="L51" s="2" t="e" vm="462">
        <f>$Z$3</f>
        <v>#VALUE!</v>
      </c>
      <c r="M51" s="2" t="e" vm="450">
        <f>$AI$16</f>
        <v>#VALUE!</v>
      </c>
      <c r="N51" s="5" t="e" vm="56">
        <f>IF(OR(
E51="TravelerAnemo",
E51="TravelerGeo",
E51="TravelerElectro",
E51="TravelerDendro",
E51="TravelerHydro",
E51="TravelerPyro",
E51="TravelerCryo"),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1" s="2" t="e" vm="519">
        <f>_xlfn.IMAGE(_xlfn.CONCAT("https://raw.githubusercontent.com/ItsCryp7iC/Genshin-Image-Hosting/main/",AZ$1,"/",WeaponsImg[[#This Row],[Name]],".png"),WeaponsImg[[#This Row],[Name]])</f>
        <v>#VALUE!</v>
      </c>
      <c r="BA51" s="2" t="s">
        <v>482</v>
      </c>
      <c r="BC51" s="2" t="e" vm="520">
        <f>_xlfn.IMAGE(_xlfn.CONCAT("https://raw.githubusercontent.com/ItsCryp7iC/Genshin-Image-Hosting/main/",BC$1,"/",WeaponMaterialsImg[[#This Row],[Name]],".png"),WeaponMaterialsImg[[#This Row],[Name]])</f>
        <v>#VALUE!</v>
      </c>
      <c r="BD51" s="2" t="s">
        <v>483</v>
      </c>
    </row>
    <row r="52" spans="4:56" ht="30" customHeight="1" x14ac:dyDescent="0.25">
      <c r="D52" s="4" t="e" vm="521">
        <f>_xlfn.IMAGE(_xlfn.CONCAT("https://raw.githubusercontent.com/ItsCryp7iC/Genshin-Image-Hosting/main/",D$1,"/",CharacterDetailsImg[[#This Row],[Name]],".png"),CharacterDetailsImg[[#This Row],[Name]])</f>
        <v>#VALUE!</v>
      </c>
      <c r="E52" s="2" t="s">
        <v>490</v>
      </c>
      <c r="F52" s="2" t="e" vm="479">
        <f t="shared" si="2"/>
        <v>#VALUE!</v>
      </c>
      <c r="G52" s="2" t="e" vm="28">
        <f>$AW$6</f>
        <v>#VALUE!</v>
      </c>
      <c r="H52" s="13">
        <v>1.6</v>
      </c>
      <c r="I52" s="2" t="e" vm="522">
        <f>$P$23</f>
        <v>#VALUE!</v>
      </c>
      <c r="J52" s="2" t="e" vm="433">
        <f>$T$25</f>
        <v>#VALUE!</v>
      </c>
      <c r="K52" s="2" t="e" vm="31">
        <f>$AF$33</f>
        <v>#VALUE!</v>
      </c>
      <c r="L52" s="2" t="e" vm="272">
        <f>$Z$12</f>
        <v>#VALUE!</v>
      </c>
      <c r="M52" s="2" t="e" vm="523">
        <f>$AI$35</f>
        <v>#VALUE!</v>
      </c>
      <c r="N52" s="5" t="e" vm="34">
        <f>IF(OR(
E52="TravelerAnemo",
E52="TravelerGeo",
E52="TravelerElectro",
E52="TravelerDendro",
E52="TravelerHydro",
E52="TravelerPyro",
E52="TravelerCryo"),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2" s="2" t="e" vm="524">
        <f>_xlfn.IMAGE(_xlfn.CONCAT("https://raw.githubusercontent.com/ItsCryp7iC/Genshin-Image-Hosting/main/",AZ$1,"/",WeaponsImg[[#This Row],[Name]],".png"),WeaponsImg[[#This Row],[Name]])</f>
        <v>#VALUE!</v>
      </c>
      <c r="BA52" s="2" t="s">
        <v>485</v>
      </c>
      <c r="BC52" s="2" t="e" vm="525">
        <f>_xlfn.IMAGE(_xlfn.CONCAT("https://raw.githubusercontent.com/ItsCryp7iC/Genshin-Image-Hosting/main/",BC$1,"/",WeaponMaterialsImg[[#This Row],[Name]],".png"),WeaponMaterialsImg[[#This Row],[Name]])</f>
        <v>#VALUE!</v>
      </c>
      <c r="BD52" s="2" t="s">
        <v>486</v>
      </c>
    </row>
    <row r="53" spans="4:56" ht="30" customHeight="1" x14ac:dyDescent="0.25">
      <c r="D53" s="4" t="e" vm="526">
        <f>_xlfn.IMAGE(_xlfn.CONCAT("https://raw.githubusercontent.com/ItsCryp7iC/Genshin-Image-Hosting/main/",D$1,"/",CharacterDetailsImg[[#This Row],[Name]],".png"),CharacterDetailsImg[[#This Row],[Name]])</f>
        <v>#VALUE!</v>
      </c>
      <c r="E53" s="2" t="s">
        <v>493</v>
      </c>
      <c r="F53" s="2" t="e" vm="479">
        <f t="shared" si="2"/>
        <v>#VALUE!</v>
      </c>
      <c r="G53" s="2" t="e" vm="6">
        <f>$AW$4</f>
        <v>#VALUE!</v>
      </c>
      <c r="H53" s="13">
        <v>4.3</v>
      </c>
      <c r="I53" s="2" t="e" vm="514">
        <f>$P$27</f>
        <v>#VALUE!</v>
      </c>
      <c r="J53" s="2" t="e" vm="73">
        <f>$T$27</f>
        <v>#VALUE!</v>
      </c>
      <c r="K53" s="2" t="e" vm="434">
        <f>$AF$39</f>
        <v>#VALUE!</v>
      </c>
      <c r="L53" s="2" t="e" vm="95">
        <f>$Z$14</f>
        <v>#VALUE!</v>
      </c>
      <c r="M53" s="2" t="e" vm="527">
        <f>$AI$45</f>
        <v>#VALUE!</v>
      </c>
      <c r="N53" s="5" t="e" vm="12">
        <f>IF(OR(
E53="TravelerAnemo",
E53="TravelerGeo",
E53="TravelerElectro",
E53="TravelerDendro",
E53="TravelerHydro",
E53="TravelerPyro",
E53="TravelerCryo"),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3" s="2" t="e" vm="528">
        <f>_xlfn.IMAGE(_xlfn.CONCAT("https://raw.githubusercontent.com/ItsCryp7iC/Genshin-Image-Hosting/main/",AZ$1,"/",WeaponsImg[[#This Row],[Name]],".png"),WeaponsImg[[#This Row],[Name]])</f>
        <v>#VALUE!</v>
      </c>
      <c r="BA53" s="2" t="s">
        <v>488</v>
      </c>
      <c r="BC53" s="2" t="e" vm="529">
        <f>_xlfn.IMAGE(_xlfn.CONCAT("https://raw.githubusercontent.com/ItsCryp7iC/Genshin-Image-Hosting/main/",BC$1,"/",WeaponMaterialsImg[[#This Row],[Name]],".png"),WeaponMaterialsImg[[#This Row],[Name]])</f>
        <v>#VALUE!</v>
      </c>
      <c r="BD53" s="2" t="s">
        <v>489</v>
      </c>
    </row>
    <row r="54" spans="4:56" ht="30" customHeight="1" x14ac:dyDescent="0.25">
      <c r="D54" s="4" t="e" vm="530">
        <f>_xlfn.IMAGE(_xlfn.CONCAT("https://raw.githubusercontent.com/ItsCryp7iC/Genshin-Image-Hosting/main/",D$1,"/",CharacterDetailsImg[[#This Row],[Name]],".png"),CharacterDetailsImg[[#This Row],[Name]])</f>
        <v>#VALUE!</v>
      </c>
      <c r="E54" s="2" t="s">
        <v>496</v>
      </c>
      <c r="F54" s="2" t="e" vm="479">
        <f t="shared" si="2"/>
        <v>#VALUE!</v>
      </c>
      <c r="G54" s="2" t="e" vm="6">
        <f>$AW$4</f>
        <v>#VALUE!</v>
      </c>
      <c r="H54" s="13">
        <v>1</v>
      </c>
      <c r="I54" s="2" t="e" vm="7">
        <f>$P$8</f>
        <v>#VALUE!</v>
      </c>
      <c r="J54" s="2" t="e" vm="531">
        <f>$T$4</f>
        <v>#VALUE!</v>
      </c>
      <c r="K54" s="2" t="e" vm="53">
        <f>$AF$6</f>
        <v>#VALUE!</v>
      </c>
      <c r="L54" s="3" t="e" vm="133">
        <f>$Z$4</f>
        <v>#VALUE!</v>
      </c>
      <c r="M54" s="2" t="e" vm="532">
        <f>$AI$4</f>
        <v>#VALUE!</v>
      </c>
      <c r="N54" s="5" t="e" vm="12">
        <f>IF(OR(
E54="TravelerAnemo",
E54="TravelerGeo",
E54="TravelerElectro",
E54="TravelerDendro",
E54="TravelerHydro",
E54="TravelerPyro",
E54="TravelerCryo"),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4" s="2" t="e" vm="533">
        <f>_xlfn.IMAGE(_xlfn.CONCAT("https://raw.githubusercontent.com/ItsCryp7iC/Genshin-Image-Hosting/main/",AZ$1,"/",WeaponsImg[[#This Row],[Name]],".png"),WeaponsImg[[#This Row],[Name]])</f>
        <v>#VALUE!</v>
      </c>
      <c r="BA54" s="2" t="s">
        <v>491</v>
      </c>
      <c r="BC54" s="2" t="e" vm="534">
        <f>_xlfn.IMAGE(_xlfn.CONCAT("https://raw.githubusercontent.com/ItsCryp7iC/Genshin-Image-Hosting/main/",BC$1,"/",WeaponMaterialsImg[[#This Row],[Name]],".png"),WeaponMaterialsImg[[#This Row],[Name]])</f>
        <v>#VALUE!</v>
      </c>
      <c r="BD54" s="2" t="s">
        <v>492</v>
      </c>
    </row>
    <row r="55" spans="4:56" ht="30" customHeight="1" x14ac:dyDescent="0.25">
      <c r="D55" s="4" t="e" vm="535">
        <f>_xlfn.IMAGE(_xlfn.CONCAT("https://raw.githubusercontent.com/ItsCryp7iC/Genshin-Image-Hosting/main/",D$1,"/",CharacterDetailsImg[[#This Row],[Name]],".png"),CharacterDetailsImg[[#This Row],[Name]])</f>
        <v>#VALUE!</v>
      </c>
      <c r="E55" s="2" t="s">
        <v>499</v>
      </c>
      <c r="F55" s="2" t="e" vm="479">
        <f t="shared" si="2"/>
        <v>#VALUE!</v>
      </c>
      <c r="G55" s="2" t="e" vm="91">
        <f>$AW$5</f>
        <v>#VALUE!</v>
      </c>
      <c r="H55" s="13">
        <v>1</v>
      </c>
      <c r="I55" s="2" t="e" vm="210">
        <f>$P$4</f>
        <v>#VALUE!</v>
      </c>
      <c r="J55" s="2" t="e" vm="531">
        <f>$T$4</f>
        <v>#VALUE!</v>
      </c>
      <c r="K55" s="2" t="e" vm="53">
        <f>$AF$6</f>
        <v>#VALUE!</v>
      </c>
      <c r="L55" s="3" t="e" vm="133">
        <f>$Z$4</f>
        <v>#VALUE!</v>
      </c>
      <c r="M55" s="2" t="e" vm="536">
        <f>$AI$3</f>
        <v>#VALUE!</v>
      </c>
      <c r="N55" s="5" t="e" vm="97">
        <f>IF(OR(
E55="TravelerAnemo",
E55="TravelerGeo",
E55="TravelerElectro",
E55="TravelerDendro",
E55="TravelerHydro",
E55="TravelerPyro",
E55="TravelerCryo"),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5" s="2" t="e" vm="537">
        <f>_xlfn.IMAGE(_xlfn.CONCAT("https://raw.githubusercontent.com/ItsCryp7iC/Genshin-Image-Hosting/main/",AZ$1,"/",WeaponsImg[[#This Row],[Name]],".png"),WeaponsImg[[#This Row],[Name]])</f>
        <v>#VALUE!</v>
      </c>
      <c r="BA55" s="2" t="s">
        <v>494</v>
      </c>
      <c r="BC55" s="2" t="e" vm="538">
        <f>_xlfn.IMAGE(_xlfn.CONCAT("https://raw.githubusercontent.com/ItsCryp7iC/Genshin-Image-Hosting/main/",BC$1,"/",WeaponMaterialsImg[[#This Row],[Name]],".png"),WeaponMaterialsImg[[#This Row],[Name]])</f>
        <v>#VALUE!</v>
      </c>
      <c r="BD55" s="2" t="s">
        <v>495</v>
      </c>
    </row>
    <row r="56" spans="4:56" ht="30" customHeight="1" x14ac:dyDescent="0.25">
      <c r="D56" s="4" t="e" vm="539">
        <f>_xlfn.IMAGE(_xlfn.CONCAT("https://raw.githubusercontent.com/ItsCryp7iC/Genshin-Image-Hosting/main/",D$1,"/",CharacterDetailsImg[[#This Row],[Name]],".png"),CharacterDetailsImg[[#This Row],[Name]])</f>
        <v>#VALUE!</v>
      </c>
      <c r="E56" s="2" t="s">
        <v>502</v>
      </c>
      <c r="F56" s="2" t="e" vm="479">
        <f t="shared" si="2"/>
        <v>#VALUE!</v>
      </c>
      <c r="G56" s="2" t="e" vm="131">
        <f>$AW$3</f>
        <v>#VALUE!</v>
      </c>
      <c r="H56" s="13">
        <v>2</v>
      </c>
      <c r="I56" s="2" t="e" vm="149">
        <f>$P$11</f>
        <v>#VALUE!</v>
      </c>
      <c r="J56" s="2" t="e" vm="150">
        <f>$T$14</f>
        <v>#VALUE!</v>
      </c>
      <c r="K56" s="2" t="e" vm="74">
        <f>$AF$27</f>
        <v>#VALUE!</v>
      </c>
      <c r="L56" s="2" t="e" vm="115">
        <f>$Z$9</f>
        <v>#VALUE!</v>
      </c>
      <c r="M56" s="2" t="e" vm="352">
        <f>$AI$22</f>
        <v>#VALUE!</v>
      </c>
      <c r="N56" s="5" t="e" vm="135">
        <f>IF(OR(
E56="TravelerAnemo",
E56="TravelerGeo",
E56="TravelerElectro",
E56="TravelerDendro",
E56="TravelerHydro",
E56="TravelerPyro",
E56="TravelerCryo"),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6" s="2" t="e" vm="540">
        <f>_xlfn.IMAGE(_xlfn.CONCAT("https://raw.githubusercontent.com/ItsCryp7iC/Genshin-Image-Hosting/main/",AZ$1,"/",WeaponsImg[[#This Row],[Name]],".png"),WeaponsImg[[#This Row],[Name]])</f>
        <v>#VALUE!</v>
      </c>
      <c r="BA56" s="2" t="s">
        <v>497</v>
      </c>
      <c r="BC56" s="2" t="e" vm="541">
        <f>_xlfn.IMAGE(_xlfn.CONCAT("https://raw.githubusercontent.com/ItsCryp7iC/Genshin-Image-Hosting/main/",BC$1,"/",WeaponMaterialsImg[[#This Row],[Name]],".png"),WeaponMaterialsImg[[#This Row],[Name]])</f>
        <v>#VALUE!</v>
      </c>
      <c r="BD56" s="2" t="s">
        <v>498</v>
      </c>
    </row>
    <row r="57" spans="4:56" ht="30" customHeight="1" x14ac:dyDescent="0.25">
      <c r="D57" s="4" t="e" vm="542">
        <f>_xlfn.IMAGE(_xlfn.CONCAT("https://raw.githubusercontent.com/ItsCryp7iC/Genshin-Image-Hosting/main/",D$1,"/",CharacterDetailsImg[[#This Row],[Name]],".png"),CharacterDetailsImg[[#This Row],[Name]])</f>
        <v>#VALUE!</v>
      </c>
      <c r="E57" s="2" t="s">
        <v>505</v>
      </c>
      <c r="F57" s="2" t="e" vm="479">
        <f t="shared" si="2"/>
        <v>#VALUE!</v>
      </c>
      <c r="G57" s="2" t="e" vm="50">
        <f>$AW$8</f>
        <v>#VALUE!</v>
      </c>
      <c r="H57" s="13">
        <v>1.1000000000000001</v>
      </c>
      <c r="I57" s="2" t="e" vm="51">
        <f>$P$6</f>
        <v>#VALUE!</v>
      </c>
      <c r="J57" s="2" t="e" vm="8">
        <f>$T$9</f>
        <v>#VALUE!</v>
      </c>
      <c r="K57" s="2" t="e" vm="338">
        <f>$AF$18</f>
        <v>#VALUE!</v>
      </c>
      <c r="L57" s="3" t="e" vm="54">
        <f>$Z$8</f>
        <v>#VALUE!</v>
      </c>
      <c r="M57" s="2" t="e" vm="283">
        <f>$AI$17</f>
        <v>#VALUE!</v>
      </c>
      <c r="N57" s="5" t="e" vm="56">
        <f>IF(OR(
E57="TravelerAnemo",
E57="TravelerGeo",
E57="TravelerElectro",
E57="TravelerDendro",
E57="TravelerHydro",
E57="TravelerPyro",
E57="TravelerCryo"),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7" s="2" t="e" vm="543">
        <f>_xlfn.IMAGE(_xlfn.CONCAT("https://raw.githubusercontent.com/ItsCryp7iC/Genshin-Image-Hosting/main/",AZ$1,"/",WeaponsImg[[#This Row],[Name]],".png"),WeaponsImg[[#This Row],[Name]])</f>
        <v>#VALUE!</v>
      </c>
      <c r="BA57" s="2" t="s">
        <v>500</v>
      </c>
      <c r="BC57" s="2" t="e" vm="544">
        <f>_xlfn.IMAGE(_xlfn.CONCAT("https://raw.githubusercontent.com/ItsCryp7iC/Genshin-Image-Hosting/main/",BC$1,"/",WeaponMaterialsImg[[#This Row],[Name]],".png"),WeaponMaterialsImg[[#This Row],[Name]])</f>
        <v>#VALUE!</v>
      </c>
      <c r="BD57" s="2" t="s">
        <v>501</v>
      </c>
    </row>
    <row r="58" spans="4:56" ht="30" customHeight="1" x14ac:dyDescent="0.25">
      <c r="D58" s="4" t="e" vm="545">
        <f>_xlfn.IMAGE(_xlfn.CONCAT("https://raw.githubusercontent.com/ItsCryp7iC/Genshin-Image-Hosting/main/",D$1,"/",CharacterDetailsImg[[#This Row],[Name]],".png"),CharacterDetailsImg[[#This Row],[Name]])</f>
        <v>#VALUE!</v>
      </c>
      <c r="E58" s="2" t="s">
        <v>508</v>
      </c>
      <c r="F58" s="2" t="e" vm="546">
        <f>$AT$5</f>
        <v>#VALUE!</v>
      </c>
      <c r="G58" s="2" t="e" vm="50">
        <f>$AW$8</f>
        <v>#VALUE!</v>
      </c>
      <c r="H58" s="13">
        <v>4.5999999999999996</v>
      </c>
      <c r="I58" s="2" t="e" vm="547">
        <f>$P$33</f>
        <v>#VALUE!</v>
      </c>
      <c r="J58" s="2" t="e" vm="548">
        <f>$T$30</f>
        <v>#VALUE!</v>
      </c>
      <c r="K58" s="2" t="e" vm="260">
        <f>$AF$45</f>
        <v>#VALUE!</v>
      </c>
      <c r="L58" s="3" t="e" vm="435">
        <f>$Z$7</f>
        <v>#VALUE!</v>
      </c>
      <c r="M58" s="2" t="e" vm="436">
        <f>$AI$41</f>
        <v>#VALUE!</v>
      </c>
      <c r="N58" s="5" t="e" vm="56">
        <f>IF(OR(
E58="TravelerAnemo",
E58="TravelerGeo",
E58="TravelerElectro",
E58="TravelerDendro",
E58="TravelerHydro",
E58="TravelerPyro",
E58="TravelerCryo"),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8" s="2" t="e" vm="549">
        <f>_xlfn.IMAGE(_xlfn.CONCAT("https://raw.githubusercontent.com/ItsCryp7iC/Genshin-Image-Hosting/main/",AZ$1,"/",WeaponsImg[[#This Row],[Name]],".png"),WeaponsImg[[#This Row],[Name]])</f>
        <v>#VALUE!</v>
      </c>
      <c r="BA58" s="2" t="s">
        <v>503</v>
      </c>
      <c r="BC58" s="2" t="e" vm="550">
        <f>_xlfn.IMAGE(_xlfn.CONCAT("https://raw.githubusercontent.com/ItsCryp7iC/Genshin-Image-Hosting/main/",BC$1,"/",WeaponMaterialsImg[[#This Row],[Name]],".png"),WeaponMaterialsImg[[#This Row],[Name]])</f>
        <v>#VALUE!</v>
      </c>
      <c r="BD58" s="2" t="s">
        <v>504</v>
      </c>
    </row>
    <row r="59" spans="4:56" ht="30" customHeight="1" x14ac:dyDescent="0.25">
      <c r="D59" s="4" t="e" vm="551">
        <f>_xlfn.IMAGE(_xlfn.CONCAT("https://raw.githubusercontent.com/ItsCryp7iC/Genshin-Image-Hosting/main/",D$1,"/",CharacterDetailsImg[[#This Row],[Name]],".png"),CharacterDetailsImg[[#This Row],[Name]])</f>
        <v>#VALUE!</v>
      </c>
      <c r="E59" s="2" t="s">
        <v>511</v>
      </c>
      <c r="F59" s="2" t="e" vm="552">
        <f t="shared" ref="F59:F75" si="3">$AT$7</f>
        <v>#VALUE!</v>
      </c>
      <c r="G59" s="2" t="e" vm="28">
        <f>$AW$6</f>
        <v>#VALUE!</v>
      </c>
      <c r="H59" s="13">
        <v>3.6</v>
      </c>
      <c r="I59" s="2" t="e" vm="225">
        <f>$P$25</f>
        <v>#VALUE!</v>
      </c>
      <c r="J59" s="2" t="e" vm="328">
        <f>$T$24</f>
        <v>#VALUE!</v>
      </c>
      <c r="K59" s="2" t="e" vm="338">
        <f>$AF$18</f>
        <v>#VALUE!</v>
      </c>
      <c r="L59" s="2" t="e" vm="272">
        <f>$Z$12</f>
        <v>#VALUE!</v>
      </c>
      <c r="M59" s="2" t="e" vm="283">
        <f>$AI$17</f>
        <v>#VALUE!</v>
      </c>
      <c r="N59" s="5" t="e" vm="34">
        <f>IF(OR(
E59="TravelerAnemo",
E59="TravelerGeo",
E59="TravelerElectro",
E59="TravelerDendro",
E59="TravelerHydro",
E59="TravelerPyro",
E59="TravelerCryo"),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9" s="2" t="e" vm="553">
        <f>_xlfn.IMAGE(_xlfn.CONCAT("https://raw.githubusercontent.com/ItsCryp7iC/Genshin-Image-Hosting/main/",AZ$1,"/",WeaponsImg[[#This Row],[Name]],".png"),WeaponsImg[[#This Row],[Name]])</f>
        <v>#VALUE!</v>
      </c>
      <c r="BA59" s="2" t="s">
        <v>506</v>
      </c>
      <c r="BC59" s="2" t="e" vm="554">
        <f>_xlfn.IMAGE(_xlfn.CONCAT("https://raw.githubusercontent.com/ItsCryp7iC/Genshin-Image-Hosting/main/",BC$1,"/",WeaponMaterialsImg[[#This Row],[Name]],".png"),WeaponMaterialsImg[[#This Row],[Name]])</f>
        <v>#VALUE!</v>
      </c>
      <c r="BD59" s="2" t="s">
        <v>507</v>
      </c>
    </row>
    <row r="60" spans="4:56" ht="30" customHeight="1" x14ac:dyDescent="0.25">
      <c r="D60" s="4" t="e" vm="555">
        <f>_xlfn.IMAGE(_xlfn.CONCAT("https://raw.githubusercontent.com/ItsCryp7iC/Genshin-Image-Hosting/main/",D$1,"/",CharacterDetailsImg[[#This Row],[Name]],".png"),CharacterDetailsImg[[#This Row],[Name]])</f>
        <v>#VALUE!</v>
      </c>
      <c r="E60" s="2" t="s">
        <v>514</v>
      </c>
      <c r="F60" s="2" t="e" vm="552">
        <f t="shared" si="3"/>
        <v>#VALUE!</v>
      </c>
      <c r="G60" s="2" t="e" vm="112">
        <f>$AW$7</f>
        <v>#VALUE!</v>
      </c>
      <c r="H60" s="13">
        <v>1</v>
      </c>
      <c r="I60" s="2" t="e" vm="337">
        <f>$P$7</f>
        <v>#VALUE!</v>
      </c>
      <c r="J60" s="2" t="e" vm="211">
        <f>$T$7</f>
        <v>#VALUE!</v>
      </c>
      <c r="K60" s="2" t="e" vm="351">
        <f>$AF$3</f>
        <v>#VALUE!</v>
      </c>
      <c r="L60" s="2" t="e" vm="10">
        <f>$Z$5</f>
        <v>#VALUE!</v>
      </c>
      <c r="M60" s="2" t="e" vm="556">
        <f>$AI$7</f>
        <v>#VALUE!</v>
      </c>
      <c r="N60" s="5" t="e" vm="117">
        <f>IF(OR(
E60="TravelerAnemo",
E60="TravelerGeo",
E60="TravelerElectro",
E60="TravelerDendro",
E60="TravelerHydro",
E60="TravelerPyro",
E60="TravelerCryo"),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0" s="2" t="e" vm="557">
        <f>_xlfn.IMAGE(_xlfn.CONCAT("https://raw.githubusercontent.com/ItsCryp7iC/Genshin-Image-Hosting/main/",AZ$1,"/",WeaponsImg[[#This Row],[Name]],".png"),WeaponsImg[[#This Row],[Name]])</f>
        <v>#VALUE!</v>
      </c>
      <c r="BA60" s="2" t="s">
        <v>509</v>
      </c>
      <c r="BC60" s="2" t="e" vm="558">
        <f>_xlfn.IMAGE(_xlfn.CONCAT("https://raw.githubusercontent.com/ItsCryp7iC/Genshin-Image-Hosting/main/",BC$1,"/",WeaponMaterialsImg[[#This Row],[Name]],".png"),WeaponMaterialsImg[[#This Row],[Name]])</f>
        <v>#VALUE!</v>
      </c>
      <c r="BD60" s="2" t="s">
        <v>510</v>
      </c>
    </row>
    <row r="61" spans="4:56" ht="30" customHeight="1" x14ac:dyDescent="0.25">
      <c r="D61" s="4" t="e" vm="559">
        <f>_xlfn.IMAGE(_xlfn.CONCAT("https://raw.githubusercontent.com/ItsCryp7iC/Genshin-Image-Hosting/main/",D$1,"/",CharacterDetailsImg[[#This Row],[Name]],".png"),CharacterDetailsImg[[#This Row],[Name]])</f>
        <v>#VALUE!</v>
      </c>
      <c r="E61" s="2" t="s">
        <v>517</v>
      </c>
      <c r="F61" s="2" t="e" vm="552">
        <f t="shared" si="3"/>
        <v>#VALUE!</v>
      </c>
      <c r="G61" s="2" t="e" vm="165">
        <f>$AW$9</f>
        <v>#VALUE!</v>
      </c>
      <c r="H61" s="13">
        <v>4.2</v>
      </c>
      <c r="I61" s="2" t="e" vm="560">
        <f>$P$29</f>
        <v>#VALUE!</v>
      </c>
      <c r="J61" s="2" t="e" vm="73">
        <f>$T$27</f>
        <v>#VALUE!</v>
      </c>
      <c r="K61" s="2" t="e" vm="94">
        <f>$AF$42</f>
        <v>#VALUE!</v>
      </c>
      <c r="L61" s="2" t="e" vm="261">
        <f>$Z$15</f>
        <v>#VALUE!</v>
      </c>
      <c r="M61" s="2" t="e" vm="561">
        <f>$AI$38</f>
        <v>#VALUE!</v>
      </c>
      <c r="N61" s="5" t="e" vm="169">
        <f>IF(OR(
E61="TravelerAnemo",
E61="TravelerGeo",
E61="TravelerElectro",
E61="TravelerDendro",
E61="TravelerHydro",
E61="TravelerPyro",
E61="TravelerCryo"),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1" s="2" t="e" vm="562">
        <f>_xlfn.IMAGE(_xlfn.CONCAT("https://raw.githubusercontent.com/ItsCryp7iC/Genshin-Image-Hosting/main/",AZ$1,"/",WeaponsImg[[#This Row],[Name]],".png"),WeaponsImg[[#This Row],[Name]])</f>
        <v>#VALUE!</v>
      </c>
      <c r="BA61" s="2" t="s">
        <v>512</v>
      </c>
      <c r="BC61" s="2" t="e" vm="563">
        <f>_xlfn.IMAGE(_xlfn.CONCAT("https://raw.githubusercontent.com/ItsCryp7iC/Genshin-Image-Hosting/main/",BC$1,"/",WeaponMaterialsImg[[#This Row],[Name]],".png"),WeaponMaterialsImg[[#This Row],[Name]])</f>
        <v>#VALUE!</v>
      </c>
      <c r="BD61" s="2" t="s">
        <v>513</v>
      </c>
    </row>
    <row r="62" spans="4:56" ht="30" customHeight="1" x14ac:dyDescent="0.25">
      <c r="D62" s="4" t="e" vm="564">
        <f>_xlfn.IMAGE(_xlfn.CONCAT("https://raw.githubusercontent.com/ItsCryp7iC/Genshin-Image-Hosting/main/",D$1,"/",CharacterDetailsImg[[#This Row],[Name]],".png"),CharacterDetailsImg[[#This Row],[Name]])</f>
        <v>#VALUE!</v>
      </c>
      <c r="E62" s="2" t="s">
        <v>519</v>
      </c>
      <c r="F62" s="2" t="e" vm="552">
        <f t="shared" si="3"/>
        <v>#VALUE!</v>
      </c>
      <c r="G62" s="2" t="e" vm="50">
        <f>$AW$8</f>
        <v>#VALUE!</v>
      </c>
      <c r="H62" s="13">
        <v>1</v>
      </c>
      <c r="I62" s="2" t="e" vm="51">
        <f>$P$6</f>
        <v>#VALUE!</v>
      </c>
      <c r="J62" s="2" t="e" vm="211">
        <f>$T$7</f>
        <v>#VALUE!</v>
      </c>
      <c r="K62" s="2" t="e" vm="351">
        <f>$AF$3</f>
        <v>#VALUE!</v>
      </c>
      <c r="L62" s="2" t="e" vm="10">
        <f>$Z$5</f>
        <v>#VALUE!</v>
      </c>
      <c r="M62" s="2" t="e" vm="556">
        <f>$AI$7</f>
        <v>#VALUE!</v>
      </c>
      <c r="N62" s="5" t="e" vm="56">
        <f>IF(OR(
E62="TravelerAnemo",
E62="TravelerGeo",
E62="TravelerElectro",
E62="TravelerDendro",
E62="TravelerHydro",
E62="TravelerPyro",
E62="TravelerCryo"),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2" s="2" t="e" vm="565">
        <f>_xlfn.IMAGE(_xlfn.CONCAT("https://raw.githubusercontent.com/ItsCryp7iC/Genshin-Image-Hosting/main/",AZ$1,"/",WeaponsImg[[#This Row],[Name]],".png"),WeaponsImg[[#This Row],[Name]])</f>
        <v>#VALUE!</v>
      </c>
      <c r="BA62" s="2" t="s">
        <v>515</v>
      </c>
      <c r="BC62" s="2" t="e" vm="566">
        <f>_xlfn.IMAGE(_xlfn.CONCAT("https://raw.githubusercontent.com/ItsCryp7iC/Genshin-Image-Hosting/main/",BC$1,"/",WeaponMaterialsImg[[#This Row],[Name]],".png"),WeaponMaterialsImg[[#This Row],[Name]])</f>
        <v>#VALUE!</v>
      </c>
      <c r="BD62" s="2" t="s">
        <v>516</v>
      </c>
    </row>
    <row r="63" spans="4:56" ht="30" customHeight="1" x14ac:dyDescent="0.25">
      <c r="D63" s="4" t="e" vm="567">
        <f>_xlfn.IMAGE(_xlfn.CONCAT("https://raw.githubusercontent.com/ItsCryp7iC/Genshin-Image-Hosting/main/",D$1,"/",CharacterDetailsImg[[#This Row],[Name]],".png"),CharacterDetailsImg[[#This Row],[Name]])</f>
        <v>#VALUE!</v>
      </c>
      <c r="E63" s="2" t="s">
        <v>521</v>
      </c>
      <c r="F63" s="2" t="e" vm="552">
        <f t="shared" si="3"/>
        <v>#VALUE!</v>
      </c>
      <c r="G63" s="2" t="e" vm="91">
        <f>$AW$5</f>
        <v>#VALUE!</v>
      </c>
      <c r="H63" s="13">
        <v>1</v>
      </c>
      <c r="I63" s="2" t="e" vm="210">
        <f>$P$4</f>
        <v>#VALUE!</v>
      </c>
      <c r="J63" s="2" t="e" vm="531">
        <f>$T$4</f>
        <v>#VALUE!</v>
      </c>
      <c r="K63" s="2" t="e" vm="9">
        <f>$AF$9</f>
        <v>#VALUE!</v>
      </c>
      <c r="L63" s="2" t="e" vm="462">
        <f>$Z$3</f>
        <v>#VALUE!</v>
      </c>
      <c r="M63" s="2" t="e" vm="532">
        <f>$AI$4</f>
        <v>#VALUE!</v>
      </c>
      <c r="N63" s="5" t="e" vm="97">
        <f>IF(OR(
E63="TravelerAnemo",
E63="TravelerGeo",
E63="TravelerElectro",
E63="TravelerDendro",
E63="TravelerHydro",
E63="TravelerPyro",
E63="TravelerCryo"),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3" s="2" t="e" vm="568">
        <f>_xlfn.IMAGE(_xlfn.CONCAT("https://raw.githubusercontent.com/ItsCryp7iC/Genshin-Image-Hosting/main/",AZ$1,"/",WeaponsImg[[#This Row],[Name]],".png"),WeaponsImg[[#This Row],[Name]])</f>
        <v>#VALUE!</v>
      </c>
      <c r="BA63" s="2" t="s">
        <v>518</v>
      </c>
    </row>
    <row r="64" spans="4:56" ht="30" customHeight="1" x14ac:dyDescent="0.25">
      <c r="D64" s="4" t="e" vm="569">
        <f>_xlfn.IMAGE(_xlfn.CONCAT("https://raw.githubusercontent.com/ItsCryp7iC/Genshin-Image-Hosting/main/",D$1,"/",CharacterDetailsImg[[#This Row],[Name]],".png"),CharacterDetailsImg[[#This Row],[Name]])</f>
        <v>#VALUE!</v>
      </c>
      <c r="E64" s="2" t="s">
        <v>523</v>
      </c>
      <c r="F64" s="2" t="e" vm="552">
        <f t="shared" si="3"/>
        <v>#VALUE!</v>
      </c>
      <c r="G64" s="2" t="e" vm="112">
        <f>$AW$7</f>
        <v>#VALUE!</v>
      </c>
      <c r="H64" s="13">
        <v>1</v>
      </c>
      <c r="I64" s="2" t="e" vm="337">
        <f>$P$7</f>
        <v>#VALUE!</v>
      </c>
      <c r="J64" s="2" t="e" vm="211">
        <f>$T$7</f>
        <v>#VALUE!</v>
      </c>
      <c r="K64" s="2" t="e" vm="53">
        <f>$AF$6</f>
        <v>#VALUE!</v>
      </c>
      <c r="L64" s="2" t="e" vm="115">
        <f>$Z$9</f>
        <v>#VALUE!</v>
      </c>
      <c r="M64" s="2" t="e" vm="556">
        <f>$AI$7</f>
        <v>#VALUE!</v>
      </c>
      <c r="N64" s="5" t="e" vm="117">
        <f>IF(OR(
E64="TravelerAnemo",
E64="TravelerGeo",
E64="TravelerElectro",
E64="TravelerDendro",
E64="TravelerHydro",
E64="TravelerPyro",
E64="TravelerCryo"),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4" s="2" t="e" vm="570">
        <f>_xlfn.IMAGE(_xlfn.CONCAT("https://raw.githubusercontent.com/ItsCryp7iC/Genshin-Image-Hosting/main/",AZ$1,"/",WeaponsImg[[#This Row],[Name]],".png"),WeaponsImg[[#This Row],[Name]])</f>
        <v>#VALUE!</v>
      </c>
      <c r="BA64" s="2" t="s">
        <v>520</v>
      </c>
    </row>
    <row r="65" spans="4:53" ht="30" customHeight="1" x14ac:dyDescent="0.25">
      <c r="D65" s="4" t="e" vm="571">
        <f>_xlfn.IMAGE(_xlfn.CONCAT("https://raw.githubusercontent.com/ItsCryp7iC/Genshin-Image-Hosting/main/",D$1,"/",CharacterDetailsImg[[#This Row],[Name]],".png"),CharacterDetailsImg[[#This Row],[Name]])</f>
        <v>#VALUE!</v>
      </c>
      <c r="E65" s="2" t="s">
        <v>525</v>
      </c>
      <c r="F65" s="2" t="e" vm="552">
        <f t="shared" si="3"/>
        <v>#VALUE!</v>
      </c>
      <c r="G65" s="2" t="e" vm="28">
        <f>$AW$6</f>
        <v>#VALUE!</v>
      </c>
      <c r="H65" s="13">
        <v>3.2</v>
      </c>
      <c r="I65" s="2" t="e" vm="522">
        <f>$P$23</f>
        <v>#VALUE!</v>
      </c>
      <c r="J65" s="2" t="e" vm="390">
        <f>$T$21</f>
        <v>#VALUE!</v>
      </c>
      <c r="K65" s="2" t="e" vm="31">
        <f>$AF$33</f>
        <v>#VALUE!</v>
      </c>
      <c r="L65" s="2" t="e" vm="272">
        <f>$Z$12</f>
        <v>#VALUE!</v>
      </c>
      <c r="M65" s="2" t="e" vm="507">
        <f>$AI$32</f>
        <v>#VALUE!</v>
      </c>
      <c r="N65" s="5" t="e" vm="34">
        <f>IF(OR(
E65="TravelerAnemo",
E65="TravelerGeo",
E65="TravelerElectro",
E65="TravelerDendro",
E65="TravelerHydro",
E65="TravelerPyro",
E65="TravelerCryo"),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5" s="2" t="e" vm="572">
        <f>_xlfn.IMAGE(_xlfn.CONCAT("https://raw.githubusercontent.com/ItsCryp7iC/Genshin-Image-Hosting/main/",AZ$1,"/",WeaponsImg[[#This Row],[Name]],".png"),WeaponsImg[[#This Row],[Name]])</f>
        <v>#VALUE!</v>
      </c>
      <c r="BA65" s="2" t="s">
        <v>522</v>
      </c>
    </row>
    <row r="66" spans="4:53" ht="30" customHeight="1" x14ac:dyDescent="0.25">
      <c r="D66" s="4" t="e" vm="573">
        <f>_xlfn.IMAGE(_xlfn.CONCAT("https://raw.githubusercontent.com/ItsCryp7iC/Genshin-Image-Hosting/main/",D$1,"/",CharacterDetailsImg[[#This Row],[Name]],".png"),CharacterDetailsImg[[#This Row],[Name]])</f>
        <v>#VALUE!</v>
      </c>
      <c r="E66" s="2" t="s">
        <v>527</v>
      </c>
      <c r="F66" s="2" t="e" vm="552">
        <f t="shared" si="3"/>
        <v>#VALUE!</v>
      </c>
      <c r="G66" s="2" t="e" vm="112">
        <f>$AW$7</f>
        <v>#VALUE!</v>
      </c>
      <c r="H66" s="13">
        <v>4.0999999999999996</v>
      </c>
      <c r="I66" s="2" t="e" vm="92">
        <f>$P$30</f>
        <v>#VALUE!</v>
      </c>
      <c r="J66" s="2" t="e" vm="93">
        <f>$T$26</f>
        <v>#VALUE!</v>
      </c>
      <c r="K66" s="2" t="e" vm="434">
        <f>$AF$39</f>
        <v>#VALUE!</v>
      </c>
      <c r="L66" s="2" t="e" vm="95">
        <f>$Z$14</f>
        <v>#VALUE!</v>
      </c>
      <c r="M66" s="2" t="e" vm="96">
        <f>$AI$42</f>
        <v>#VALUE!</v>
      </c>
      <c r="N66" s="5" t="e" vm="117">
        <f>IF(OR(
E66="TravelerAnemo",
E66="TravelerGeo",
E66="TravelerElectro",
E66="TravelerDendro",
E66="TravelerHydro",
E66="TravelerPyro",
E66="TravelerCryo"),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6" s="2" t="e" vm="574">
        <f>_xlfn.IMAGE(_xlfn.CONCAT("https://raw.githubusercontent.com/ItsCryp7iC/Genshin-Image-Hosting/main/",AZ$1,"/",WeaponsImg[[#This Row],[Name]],".png"),WeaponsImg[[#This Row],[Name]])</f>
        <v>#VALUE!</v>
      </c>
      <c r="BA66" s="2" t="s">
        <v>524</v>
      </c>
    </row>
    <row r="67" spans="4:53" ht="30" customHeight="1" x14ac:dyDescent="0.25">
      <c r="D67" s="4" t="e" vm="575">
        <f>_xlfn.IMAGE(_xlfn.CONCAT("https://raw.githubusercontent.com/ItsCryp7iC/Genshin-Image-Hosting/main/",D$1,"/",CharacterDetailsImg[[#This Row],[Name]],".png"),CharacterDetailsImg[[#This Row],[Name]])</f>
        <v>#VALUE!</v>
      </c>
      <c r="E67" s="2" t="s">
        <v>529</v>
      </c>
      <c r="F67" s="2" t="e" vm="552">
        <f t="shared" si="3"/>
        <v>#VALUE!</v>
      </c>
      <c r="G67" s="2" t="e" vm="6">
        <f>$AW$4</f>
        <v>#VALUE!</v>
      </c>
      <c r="H67" s="13">
        <v>1</v>
      </c>
      <c r="I67" s="2" t="e" vm="7">
        <f>$P$8</f>
        <v>#VALUE!</v>
      </c>
      <c r="J67" s="2" t="e" vm="167">
        <f>$T$8</f>
        <v>#VALUE!</v>
      </c>
      <c r="K67" s="2" t="e" vm="212">
        <f>$AF$12</f>
        <v>#VALUE!</v>
      </c>
      <c r="L67" s="3" t="e" vm="435">
        <f>$Z$7</f>
        <v>#VALUE!</v>
      </c>
      <c r="M67" s="2" t="e" vm="576">
        <f>$AI$14</f>
        <v>#VALUE!</v>
      </c>
      <c r="N67" s="5" t="e" vm="12">
        <f>IF(OR(
E67="TravelerAnemo",
E67="TravelerGeo",
E67="TravelerElectro",
E67="TravelerDendro",
E67="TravelerHydro",
E67="TravelerPyro",
E67="TravelerCryo"),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7" s="2" t="e" vm="577">
        <f>_xlfn.IMAGE(_xlfn.CONCAT("https://raw.githubusercontent.com/ItsCryp7iC/Genshin-Image-Hosting/main/",AZ$1,"/",WeaponsImg[[#This Row],[Name]],".png"),WeaponsImg[[#This Row],[Name]])</f>
        <v>#VALUE!</v>
      </c>
      <c r="BA67" s="2" t="s">
        <v>526</v>
      </c>
    </row>
    <row r="68" spans="4:53" ht="30" customHeight="1" x14ac:dyDescent="0.25">
      <c r="D68" s="4" t="e" vm="578">
        <f>_xlfn.IMAGE(_xlfn.CONCAT("https://raw.githubusercontent.com/ItsCryp7iC/Genshin-Image-Hosting/main/",D$1,"/",CharacterDetailsImg[[#This Row],[Name]],".png"),CharacterDetailsImg[[#This Row],[Name]])</f>
        <v>#VALUE!</v>
      </c>
      <c r="E68" s="2" t="s">
        <v>531</v>
      </c>
      <c r="F68" s="2" t="e" vm="552">
        <f t="shared" si="3"/>
        <v>#VALUE!</v>
      </c>
      <c r="G68" s="2" t="e" vm="112">
        <f>$AW$7</f>
        <v>#VALUE!</v>
      </c>
      <c r="H68" s="13">
        <v>2.1</v>
      </c>
      <c r="I68" s="2" t="e" vm="197">
        <f>$P$14</f>
        <v>#VALUE!</v>
      </c>
      <c r="J68" s="2" t="e" vm="579">
        <f>$T$16</f>
        <v>#VALUE!</v>
      </c>
      <c r="K68" s="2" t="e" vm="226">
        <f>$AF$21</f>
        <v>#VALUE!</v>
      </c>
      <c r="L68" s="2" t="e" vm="75">
        <f>$Z$11</f>
        <v>#VALUE!</v>
      </c>
      <c r="M68" s="2" t="e" vm="417">
        <f>$AI$26</f>
        <v>#VALUE!</v>
      </c>
      <c r="N68" s="5" t="e" vm="117">
        <f>IF(OR(
E68="TravelerAnemo",
E68="TravelerGeo",
E68="TravelerElectro",
E68="TravelerDendro",
E68="TravelerHydro",
E68="TravelerPyro",
E68="TravelerCryo"),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8" s="2" t="e" vm="580">
        <f>_xlfn.IMAGE(_xlfn.CONCAT("https://raw.githubusercontent.com/ItsCryp7iC/Genshin-Image-Hosting/main/",AZ$1,"/",WeaponsImg[[#This Row],[Name]],".png"),WeaponsImg[[#This Row],[Name]])</f>
        <v>#VALUE!</v>
      </c>
      <c r="BA68" s="2" t="s">
        <v>528</v>
      </c>
    </row>
    <row r="69" spans="4:53" ht="30" customHeight="1" x14ac:dyDescent="0.25">
      <c r="D69" s="4" t="e" vm="581">
        <f>_xlfn.IMAGE(_xlfn.CONCAT("https://raw.githubusercontent.com/ItsCryp7iC/Genshin-Image-Hosting/main/",D$1,"/",CharacterDetailsImg[[#This Row],[Name]],".png"),CharacterDetailsImg[[#This Row],[Name]])</f>
        <v>#VALUE!</v>
      </c>
      <c r="E69" s="2" t="s">
        <v>533</v>
      </c>
      <c r="F69" s="2" t="e" vm="552">
        <f t="shared" si="3"/>
        <v>#VALUE!</v>
      </c>
      <c r="G69" s="2" t="e" vm="131">
        <f>$AW$3</f>
        <v>#VALUE!</v>
      </c>
      <c r="H69" s="13">
        <v>2.8</v>
      </c>
      <c r="I69" s="2" t="e" vm="239">
        <f>$P$18</f>
        <v>#VALUE!</v>
      </c>
      <c r="J69" s="2" t="e" vm="456">
        <f>$T$20</f>
        <v>#VALUE!</v>
      </c>
      <c r="K69" s="2" t="e" vm="226">
        <f>$AF$21</f>
        <v>#VALUE!</v>
      </c>
      <c r="L69" s="3" t="e" vm="54">
        <f>$Z$8</f>
        <v>#VALUE!</v>
      </c>
      <c r="M69" s="2" t="e" vm="481">
        <f>$AI$20</f>
        <v>#VALUE!</v>
      </c>
      <c r="N69" s="5" t="e" vm="135">
        <f>IF(OR(
E69="TravelerAnemo",
E69="TravelerGeo",
E69="TravelerElectro",
E69="TravelerDendro",
E69="TravelerHydro",
E69="TravelerPyro",
E69="TravelerCryo"),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9" s="2" t="e" vm="582">
        <f>_xlfn.IMAGE(_xlfn.CONCAT("https://raw.githubusercontent.com/ItsCryp7iC/Genshin-Image-Hosting/main/",AZ$1,"/",WeaponsImg[[#This Row],[Name]],".png"),WeaponsImg[[#This Row],[Name]])</f>
        <v>#VALUE!</v>
      </c>
      <c r="BA69" s="2" t="s">
        <v>530</v>
      </c>
    </row>
    <row r="70" spans="4:53" ht="30" customHeight="1" x14ac:dyDescent="0.25">
      <c r="D70" s="4" t="e" vm="583">
        <f>_xlfn.IMAGE(_xlfn.CONCAT("https://raw.githubusercontent.com/ItsCryp7iC/Genshin-Image-Hosting/main/",D$1,"/",CharacterDetailsImg[[#This Row],[Name]],".png"),CharacterDetailsImg[[#This Row],[Name]])</f>
        <v>#VALUE!</v>
      </c>
      <c r="E70" s="2" t="s">
        <v>535</v>
      </c>
      <c r="F70" s="2" t="e" vm="552">
        <f t="shared" si="3"/>
        <v>#VALUE!</v>
      </c>
      <c r="G70" s="2" t="e" vm="131">
        <f>$AW$3</f>
        <v>#VALUE!</v>
      </c>
      <c r="H70" s="13">
        <v>1</v>
      </c>
      <c r="I70" s="2" t="e" vm="132">
        <f>$P$3</f>
        <v>#VALUE!</v>
      </c>
      <c r="J70" s="2" t="e" vm="167">
        <f>$T$8</f>
        <v>#VALUE!</v>
      </c>
      <c r="K70" s="2" t="e" vm="351">
        <f>$AF$3</f>
        <v>#VALUE!</v>
      </c>
      <c r="L70" s="2" t="e" vm="115">
        <f>$Z$9</f>
        <v>#VALUE!</v>
      </c>
      <c r="M70" s="2" t="e" vm="55">
        <f>$AI$6</f>
        <v>#VALUE!</v>
      </c>
      <c r="N70" s="5" t="e" vm="135">
        <f>IF(OR(
E70="TravelerAnemo",
E70="TravelerGeo",
E70="TravelerElectro",
E70="TravelerDendro",
E70="TravelerHydro",
E70="TravelerPyro",
E70="TravelerCryo"),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0" s="2" t="e" vm="584">
        <f>_xlfn.IMAGE(_xlfn.CONCAT("https://raw.githubusercontent.com/ItsCryp7iC/Genshin-Image-Hosting/main/",AZ$1,"/",WeaponsImg[[#This Row],[Name]],".png"),WeaponsImg[[#This Row],[Name]])</f>
        <v>#VALUE!</v>
      </c>
      <c r="BA70" s="2" t="s">
        <v>532</v>
      </c>
    </row>
    <row r="71" spans="4:53" ht="30" customHeight="1" x14ac:dyDescent="0.25">
      <c r="D71" s="4" t="e" vm="585">
        <f>_xlfn.IMAGE(_xlfn.CONCAT("https://raw.githubusercontent.com/ItsCryp7iC/Genshin-Image-Hosting/main/",D$1,"/",CharacterDetailsImg[[#This Row],[Name]],".png"),CharacterDetailsImg[[#This Row],[Name]])</f>
        <v>#VALUE!</v>
      </c>
      <c r="E71" s="2" t="s">
        <v>537</v>
      </c>
      <c r="F71" s="2" t="e" vm="552">
        <f t="shared" si="3"/>
        <v>#VALUE!</v>
      </c>
      <c r="G71" s="2" t="e" vm="131">
        <f>$AW$3</f>
        <v>#VALUE!</v>
      </c>
      <c r="H71" s="13">
        <v>3.3</v>
      </c>
      <c r="I71" s="2" t="e" vm="250">
        <f>$P$21</f>
        <v>#VALUE!</v>
      </c>
      <c r="J71" s="2" t="e" vm="443">
        <f>$T$23</f>
        <v>#VALUE!</v>
      </c>
      <c r="K71" s="2" t="e" vm="271">
        <f>$AF$36</f>
        <v>#VALUE!</v>
      </c>
      <c r="L71" s="2" t="e" vm="184">
        <f>$Z$10</f>
        <v>#VALUE!</v>
      </c>
      <c r="M71" s="2" t="e" vm="371">
        <f>$AI$29</f>
        <v>#VALUE!</v>
      </c>
      <c r="N71" s="5" t="e" vm="135">
        <f>IF(OR(
E71="TravelerAnemo",
E71="TravelerGeo",
E71="TravelerElectro",
E71="TravelerDendro",
E71="TravelerHydro",
E71="TravelerPyro",
E71="TravelerCryo"),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1" s="2" t="e" vm="586">
        <f>_xlfn.IMAGE(_xlfn.CONCAT("https://raw.githubusercontent.com/ItsCryp7iC/Genshin-Image-Hosting/main/",AZ$1,"/",WeaponsImg[[#This Row],[Name]],".png"),WeaponsImg[[#This Row],[Name]])</f>
        <v>#VALUE!</v>
      </c>
      <c r="BA71" s="2" t="s">
        <v>534</v>
      </c>
    </row>
    <row r="72" spans="4:53" ht="30" customHeight="1" x14ac:dyDescent="0.25">
      <c r="D72" s="4" t="e" vm="587">
        <f>_xlfn.IMAGE(_xlfn.CONCAT("https://raw.githubusercontent.com/ItsCryp7iC/Genshin-Image-Hosting/main/",D$1,"/",CharacterDetailsImg[[#This Row],[Name]],".png"),CharacterDetailsImg[[#This Row],[Name]])</f>
        <v>#VALUE!</v>
      </c>
      <c r="E72" s="2" t="s">
        <v>539</v>
      </c>
      <c r="F72" s="2" t="e" vm="552">
        <f t="shared" si="3"/>
        <v>#VALUE!</v>
      </c>
      <c r="G72" s="2" t="e" vm="165">
        <f>$AW$9</f>
        <v>#VALUE!</v>
      </c>
      <c r="H72" s="13">
        <v>4.0999999999999996</v>
      </c>
      <c r="I72" s="2" t="e" vm="560">
        <f>$P$29</f>
        <v>#VALUE!</v>
      </c>
      <c r="J72" s="2" t="e" vm="433">
        <f>$T$25</f>
        <v>#VALUE!</v>
      </c>
      <c r="K72" s="2" t="e" vm="260">
        <f>$AF$45</f>
        <v>#VALUE!</v>
      </c>
      <c r="L72" s="2" t="e" vm="261">
        <f>$Z$15</f>
        <v>#VALUE!</v>
      </c>
      <c r="M72" s="2" t="e" vm="588">
        <f>$AI$44</f>
        <v>#VALUE!</v>
      </c>
      <c r="N72" s="5" t="e" vm="169">
        <f>IF(OR(
E72="TravelerAnemo",
E72="TravelerGeo",
E72="TravelerElectro",
E72="TravelerDendro",
E72="TravelerHydro",
E72="TravelerPyro",
E72="TravelerCryo"),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2" s="2" t="e" vm="589">
        <f>_xlfn.IMAGE(_xlfn.CONCAT("https://raw.githubusercontent.com/ItsCryp7iC/Genshin-Image-Hosting/main/",AZ$1,"/",WeaponsImg[[#This Row],[Name]],".png"),WeaponsImg[[#This Row],[Name]])</f>
        <v>#VALUE!</v>
      </c>
      <c r="BA72" s="2" t="s">
        <v>536</v>
      </c>
    </row>
    <row r="73" spans="4:53" ht="30" customHeight="1" x14ac:dyDescent="0.25">
      <c r="D73" s="4" t="e" vm="590">
        <f>_xlfn.IMAGE(_xlfn.CONCAT("https://raw.githubusercontent.com/ItsCryp7iC/Genshin-Image-Hosting/main/",D$1,"/",CharacterDetailsImg[[#This Row],[Name]],".png"),CharacterDetailsImg[[#This Row],[Name]])</f>
        <v>#VALUE!</v>
      </c>
      <c r="E73" s="2" t="s">
        <v>541</v>
      </c>
      <c r="F73" s="2" t="e" vm="552">
        <f t="shared" si="3"/>
        <v>#VALUE!</v>
      </c>
      <c r="G73" s="2" t="e" vm="131">
        <f>$AW$3</f>
        <v>#VALUE!</v>
      </c>
      <c r="H73" s="13">
        <v>4.4000000000000004</v>
      </c>
      <c r="I73" s="2" t="e" vm="442">
        <f>$P$32</f>
        <v>#VALUE!</v>
      </c>
      <c r="J73" s="2" t="e" vm="591">
        <f>$T$28</f>
        <v>#VALUE!</v>
      </c>
      <c r="K73" s="2" t="e" vm="338">
        <f>$AF$18</f>
        <v>#VALUE!</v>
      </c>
      <c r="L73" s="2" t="e" vm="10">
        <f>$Z$5</f>
        <v>#VALUE!</v>
      </c>
      <c r="M73" s="2" t="e" vm="592">
        <f>$AI$19</f>
        <v>#VALUE!</v>
      </c>
      <c r="N73" s="5" t="e" vm="135">
        <f>IF(OR(
E73="TravelerAnemo",
E73="TravelerGeo",
E73="TravelerElectro",
E73="TravelerDendro",
E73="TravelerHydro",
E73="TravelerPyro",
E73="TravelerCryo"),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3" s="2" t="e" vm="593">
        <f>_xlfn.IMAGE(_xlfn.CONCAT("https://raw.githubusercontent.com/ItsCryp7iC/Genshin-Image-Hosting/main/",AZ$1,"/",WeaponsImg[[#This Row],[Name]],".png"),WeaponsImg[[#This Row],[Name]])</f>
        <v>#VALUE!</v>
      </c>
      <c r="BA73" s="2" t="s">
        <v>538</v>
      </c>
    </row>
    <row r="74" spans="4:53" ht="30" customHeight="1" x14ac:dyDescent="0.25">
      <c r="D74" s="4" t="e" vm="594">
        <f>_xlfn.IMAGE(_xlfn.CONCAT("https://raw.githubusercontent.com/ItsCryp7iC/Genshin-Image-Hosting/main/",D$1,"/",CharacterDetailsImg[[#This Row],[Name]],".png"),CharacterDetailsImg[[#This Row],[Name]])</f>
        <v>#VALUE!</v>
      </c>
      <c r="E74" s="2" t="s">
        <v>543</v>
      </c>
      <c r="F74" s="2" t="e" vm="552">
        <f t="shared" si="3"/>
        <v>#VALUE!</v>
      </c>
      <c r="G74" s="2" t="e" vm="91">
        <f>$AW$5</f>
        <v>#VALUE!</v>
      </c>
      <c r="H74" s="13">
        <v>2.5</v>
      </c>
      <c r="I74" s="2" t="e" vm="595">
        <f>$P$17</f>
        <v>#VALUE!</v>
      </c>
      <c r="J74" s="2" t="e" vm="456">
        <f>$T$20</f>
        <v>#VALUE!</v>
      </c>
      <c r="K74" s="2" t="e" vm="74">
        <f>$AF$27</f>
        <v>#VALUE!</v>
      </c>
      <c r="L74" s="2" t="e" vm="184">
        <f>$Z$10</f>
        <v>#VALUE!</v>
      </c>
      <c r="M74" s="2" t="e" vm="152">
        <f>$AI$25</f>
        <v>#VALUE!</v>
      </c>
      <c r="N74" s="5" t="e" vm="97">
        <f>IF(OR(
E74="TravelerAnemo",
E74="TravelerGeo",
E74="TravelerElectro",
E74="TravelerDendro",
E74="TravelerHydro",
E74="TravelerPyro",
E74="TravelerCryo"),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4" s="2" t="e" vm="596">
        <f>_xlfn.IMAGE(_xlfn.CONCAT("https://raw.githubusercontent.com/ItsCryp7iC/Genshin-Image-Hosting/main/",AZ$1,"/",WeaponsImg[[#This Row],[Name]],".png"),WeaponsImg[[#This Row],[Name]])</f>
        <v>#VALUE!</v>
      </c>
      <c r="BA74" s="2" t="s">
        <v>540</v>
      </c>
    </row>
    <row r="75" spans="4:53" ht="30" customHeight="1" x14ac:dyDescent="0.25">
      <c r="D75" s="4" t="e" vm="597">
        <f>_xlfn.IMAGE(_xlfn.CONCAT("https://raw.githubusercontent.com/ItsCryp7iC/Genshin-Image-Hosting/main/",D$1,"/",CharacterDetailsImg[[#This Row],[Name]],".png"),CharacterDetailsImg[[#This Row],[Name]])</f>
        <v>#VALUE!</v>
      </c>
      <c r="E75" s="2" t="s">
        <v>545</v>
      </c>
      <c r="F75" s="2" t="e" vm="552">
        <f t="shared" si="3"/>
        <v>#VALUE!</v>
      </c>
      <c r="G75" s="2" t="e" vm="50">
        <f>$AW$8</f>
        <v>#VALUE!</v>
      </c>
      <c r="H75" s="13">
        <v>1.5</v>
      </c>
      <c r="I75" s="2" t="e" vm="598">
        <f>$P$9</f>
        <v>#VALUE!</v>
      </c>
      <c r="J75" s="2" t="e" vm="182">
        <f>$T$13</f>
        <v>#VALUE!</v>
      </c>
      <c r="K75" s="2" t="e" vm="338">
        <f>$AF$18</f>
        <v>#VALUE!</v>
      </c>
      <c r="L75" s="3" t="e" vm="54">
        <f>$Z$8</f>
        <v>#VALUE!</v>
      </c>
      <c r="M75" s="2" t="e" vm="487">
        <f>$AI$12</f>
        <v>#VALUE!</v>
      </c>
      <c r="N75" s="5" t="e" vm="56">
        <f>IF(OR(
E75="TravelerAnemo",
E75="TravelerGeo",
E75="TravelerElectro",
E75="TravelerDendro",
E75="TravelerHydro",
E75="TravelerPyro",
E75="TravelerCryo"),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5" s="2" t="e" vm="599">
        <f>_xlfn.IMAGE(_xlfn.CONCAT("https://raw.githubusercontent.com/ItsCryp7iC/Genshin-Image-Hosting/main/",AZ$1,"/",WeaponsImg[[#This Row],[Name]],".png"),WeaponsImg[[#This Row],[Name]])</f>
        <v>#VALUE!</v>
      </c>
      <c r="BA75" s="2" t="s">
        <v>542</v>
      </c>
    </row>
    <row r="76" spans="4:53" ht="30" customHeight="1" x14ac:dyDescent="0.25">
      <c r="D76" s="4" t="e" vm="600">
        <f>_xlfn.IMAGE(_xlfn.CONCAT("https://raw.githubusercontent.com/ItsCryp7iC/Genshin-Image-Hosting/main/",D$1,"/",CharacterDetailsImg[[#This Row],[Name]],".png"),CharacterDetailsImg[[#This Row],[Name]])</f>
        <v>#VALUE!</v>
      </c>
      <c r="E76" s="2" t="s">
        <v>547</v>
      </c>
      <c r="F76" s="2" t="e" vm="546">
        <f t="shared" ref="F76:F89" si="4">$AT$5</f>
        <v>#VALUE!</v>
      </c>
      <c r="G76" s="2" t="e" vm="112">
        <f>$AW$7</f>
        <v>#VALUE!</v>
      </c>
      <c r="H76" s="13">
        <v>3.1</v>
      </c>
      <c r="I76" s="2" t="e" vm="389">
        <f>$P$22</f>
        <v>#VALUE!</v>
      </c>
      <c r="J76" s="2" t="e" vm="240">
        <f>$T$19</f>
        <v>#VALUE!</v>
      </c>
      <c r="K76" s="2" t="e" vm="391">
        <f>$AF$30</f>
        <v>#VALUE!</v>
      </c>
      <c r="L76" s="2" t="e" vm="32">
        <f>$Z$13</f>
        <v>#VALUE!</v>
      </c>
      <c r="M76" s="2" t="e" vm="76">
        <f>$AI$33</f>
        <v>#VALUE!</v>
      </c>
      <c r="N76" s="5" t="e" vm="117">
        <f>IF(OR(
E76="TravelerAnemo",
E76="TravelerGeo",
E76="TravelerElectro",
E76="TravelerDendro",
E76="TravelerHydro",
E76="TravelerPyro",
E76="TravelerCryo"),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6" s="2" t="e" vm="601">
        <f>_xlfn.IMAGE(_xlfn.CONCAT("https://raw.githubusercontent.com/ItsCryp7iC/Genshin-Image-Hosting/main/",AZ$1,"/",WeaponsImg[[#This Row],[Name]],".png"),WeaponsImg[[#This Row],[Name]])</f>
        <v>#VALUE!</v>
      </c>
      <c r="BA76" s="2" t="s">
        <v>544</v>
      </c>
    </row>
    <row r="77" spans="4:53" ht="30" customHeight="1" x14ac:dyDescent="0.25">
      <c r="D77" s="4" t="e" vm="602">
        <f>_xlfn.IMAGE(_xlfn.CONCAT("https://raw.githubusercontent.com/ItsCryp7iC/Genshin-Image-Hosting/main/",D$1,"/",CharacterDetailsImg[[#This Row],[Name]],".png"),CharacterDetailsImg[[#This Row],[Name]])</f>
        <v>#VALUE!</v>
      </c>
      <c r="E77" s="2" t="s">
        <v>549</v>
      </c>
      <c r="F77" s="2" t="e" vm="546">
        <f t="shared" si="4"/>
        <v>#VALUE!</v>
      </c>
      <c r="G77" s="2" t="e" vm="50">
        <f>$AW$8</f>
        <v>#VALUE!</v>
      </c>
      <c r="H77" s="13">
        <v>4.3</v>
      </c>
      <c r="I77" s="2" t="e" vm="92">
        <f>$P$30</f>
        <v>#VALUE!</v>
      </c>
      <c r="J77" s="2" t="e" vm="591">
        <f>$T$28</f>
        <v>#VALUE!</v>
      </c>
      <c r="K77" s="2" t="e" vm="260">
        <f>$AF$45</f>
        <v>#VALUE!</v>
      </c>
      <c r="L77" s="2" t="e" vm="261">
        <f>$Z$15</f>
        <v>#VALUE!</v>
      </c>
      <c r="M77" s="2" t="e" vm="262">
        <f>$AI$40</f>
        <v>#VALUE!</v>
      </c>
      <c r="N77" s="5" t="e" vm="56">
        <f>IF(OR(
E77="TravelerAnemo",
E77="TravelerGeo",
E77="TravelerElectro",
E77="TravelerDendro",
E77="TravelerHydro",
E77="TravelerPyro",
E77="TravelerCryo"),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7" s="2" t="e" vm="603">
        <f>_xlfn.IMAGE(_xlfn.CONCAT("https://raw.githubusercontent.com/ItsCryp7iC/Genshin-Image-Hosting/main/",AZ$1,"/",WeaponsImg[[#This Row],[Name]],".png"),WeaponsImg[[#This Row],[Name]])</f>
        <v>#VALUE!</v>
      </c>
      <c r="BA77" s="2" t="s">
        <v>546</v>
      </c>
    </row>
    <row r="78" spans="4:53" ht="30" customHeight="1" x14ac:dyDescent="0.25">
      <c r="D78" s="4" t="e" vm="604">
        <f>_xlfn.IMAGE(_xlfn.CONCAT("https://raw.githubusercontent.com/ItsCryp7iC/Genshin-Image-Hosting/main/",D$1,"/",CharacterDetailsImg[[#This Row],[Name]],".png"),CharacterDetailsImg[[#This Row],[Name]])</f>
        <v>#VALUE!</v>
      </c>
      <c r="E78" s="2" t="s">
        <v>551</v>
      </c>
      <c r="F78" s="2" t="e" vm="546">
        <f t="shared" si="4"/>
        <v>#VALUE!</v>
      </c>
      <c r="G78" s="2" t="e" vm="91">
        <f>$AW$5</f>
        <v>#VALUE!</v>
      </c>
      <c r="H78" s="13">
        <v>3.1</v>
      </c>
      <c r="I78" s="2" t="e" vm="506">
        <f>$P$20</f>
        <v>#VALUE!</v>
      </c>
      <c r="J78" s="2" t="e" vm="198">
        <f>$T$18</f>
        <v>#VALUE!</v>
      </c>
      <c r="K78" s="2" t="e" vm="391">
        <f>$AF$30</f>
        <v>#VALUE!</v>
      </c>
      <c r="L78" s="2" t="e" vm="10">
        <f>$Z$5</f>
        <v>#VALUE!</v>
      </c>
      <c r="M78" s="2" t="e" vm="605">
        <f>$AI$37</f>
        <v>#VALUE!</v>
      </c>
      <c r="N78" s="5" t="e" vm="97">
        <f>IF(OR(
E78="TravelerAnemo",
E78="TravelerGeo",
E78="TravelerElectro",
E78="TravelerDendro",
E78="TravelerHydro",
E78="TravelerPyro",
E78="TravelerCryo"),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8" s="2" t="e" vm="606">
        <f>_xlfn.IMAGE(_xlfn.CONCAT("https://raw.githubusercontent.com/ItsCryp7iC/Genshin-Image-Hosting/main/",AZ$1,"/",WeaponsImg[[#This Row],[Name]],".png"),WeaponsImg[[#This Row],[Name]])</f>
        <v>#VALUE!</v>
      </c>
      <c r="BA78" s="2" t="s">
        <v>548</v>
      </c>
    </row>
    <row r="79" spans="4:53" ht="30" customHeight="1" x14ac:dyDescent="0.25">
      <c r="D79" s="4" t="e" vm="607">
        <f>_xlfn.IMAGE(_xlfn.CONCAT("https://raw.githubusercontent.com/ItsCryp7iC/Genshin-Image-Hosting/main/",D$1,"/",CharacterDetailsImg[[#This Row],[Name]],".png"),CharacterDetailsImg[[#This Row],[Name]])</f>
        <v>#VALUE!</v>
      </c>
      <c r="E79" s="2" t="s">
        <v>553</v>
      </c>
      <c r="F79" s="2" t="e" vm="546">
        <f t="shared" si="4"/>
        <v>#VALUE!</v>
      </c>
      <c r="G79" s="2" t="e" vm="50">
        <f>$AW$8</f>
        <v>#VALUE!</v>
      </c>
      <c r="H79" s="13">
        <v>1.3</v>
      </c>
      <c r="I79" s="2" t="e" vm="598">
        <f>$P$9</f>
        <v>#VALUE!</v>
      </c>
      <c r="J79" s="2" t="e" vm="380">
        <f>$T$10</f>
        <v>#VALUE!</v>
      </c>
      <c r="K79" s="2" t="e" vm="151">
        <f>$AF$15</f>
        <v>#VALUE!</v>
      </c>
      <c r="L79" s="2" t="e" vm="115">
        <f>$Z$9</f>
        <v>#VALUE!</v>
      </c>
      <c r="M79" s="2" t="e" vm="339">
        <f>$AI$13</f>
        <v>#VALUE!</v>
      </c>
      <c r="N79" s="5" t="e" vm="56">
        <f>IF(OR(
E79="TravelerAnemo",
E79="TravelerGeo",
E79="TravelerElectro",
E79="TravelerDendro",
E79="TravelerHydro",
E79="TravelerPyro",
E79="TravelerCryo"),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9" s="2" t="e" vm="608">
        <f>_xlfn.IMAGE(_xlfn.CONCAT("https://raw.githubusercontent.com/ItsCryp7iC/Genshin-Image-Hosting/main/",AZ$1,"/",WeaponsImg[[#This Row],[Name]],".png"),WeaponsImg[[#This Row],[Name]])</f>
        <v>#VALUE!</v>
      </c>
      <c r="BA79" s="2" t="s">
        <v>550</v>
      </c>
    </row>
    <row r="80" spans="4:53" ht="30" customHeight="1" x14ac:dyDescent="0.25">
      <c r="D80" s="4" t="e" vm="609">
        <f>_xlfn.IMAGE(_xlfn.CONCAT("https://raw.githubusercontent.com/ItsCryp7iC/Genshin-Image-Hosting/main/",D$1,"/",CharacterDetailsImg[[#This Row],[Name]],".png"),CharacterDetailsImg[[#This Row],[Name]])</f>
        <v>#VALUE!</v>
      </c>
      <c r="E80" s="2" t="s">
        <v>555</v>
      </c>
      <c r="F80" s="2" t="e" vm="546">
        <f t="shared" si="4"/>
        <v>#VALUE!</v>
      </c>
      <c r="G80" s="2" t="e" vm="165">
        <f>$AW$9</f>
        <v>#VALUE!</v>
      </c>
      <c r="H80" s="13">
        <v>3.5</v>
      </c>
      <c r="I80" s="2" t="e" vm="29">
        <f>$P$24</f>
        <v>#VALUE!</v>
      </c>
      <c r="J80" s="2" t="e" vm="30">
        <f>$T$22</f>
        <v>#VALUE!</v>
      </c>
      <c r="K80" s="2" t="e" vm="9">
        <f>$AF$9</f>
        <v>#VALUE!</v>
      </c>
      <c r="L80" s="3" t="e" vm="435">
        <f>$Z$7</f>
        <v>#VALUE!</v>
      </c>
      <c r="M80" s="2" t="e" vm="536">
        <f>$AI$3</f>
        <v>#VALUE!</v>
      </c>
      <c r="N80" s="5" t="e" vm="169">
        <f>IF(OR(
E80="TravelerAnemo",
E80="TravelerGeo",
E80="TravelerElectro",
E80="TravelerDendro",
E80="TravelerHydro",
E80="TravelerPyro",
E80="TravelerCryo"),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0" s="2" t="e" vm="610">
        <f>_xlfn.IMAGE(_xlfn.CONCAT("https://raw.githubusercontent.com/ItsCryp7iC/Genshin-Image-Hosting/main/",AZ$1,"/",WeaponsImg[[#This Row],[Name]],".png"),WeaponsImg[[#This Row],[Name]])</f>
        <v>#VALUE!</v>
      </c>
      <c r="BA80" s="2" t="s">
        <v>552</v>
      </c>
    </row>
    <row r="81" spans="4:53" ht="30" customHeight="1" x14ac:dyDescent="0.25">
      <c r="D81" s="4" t="e" vm="611">
        <f>_xlfn.IMAGE(_xlfn.CONCAT("https://raw.githubusercontent.com/ItsCryp7iC/Genshin-Image-Hosting/main/",D$1,"/",CharacterDetailsImg[[#This Row],[Name]],".png"),CharacterDetailsImg[[#This Row],[Name]])</f>
        <v>#VALUE!</v>
      </c>
      <c r="E81" s="2" t="s">
        <v>557</v>
      </c>
      <c r="F81" s="2" t="e" vm="546">
        <f t="shared" si="4"/>
        <v>#VALUE!</v>
      </c>
      <c r="G81" s="2" t="e" vm="91">
        <f>$AW$5</f>
        <v>#VALUE!</v>
      </c>
      <c r="H81" s="13">
        <v>2.1</v>
      </c>
      <c r="I81" s="2" t="e" vm="424">
        <f>$P$15</f>
        <v>#VALUE!</v>
      </c>
      <c r="J81" s="2" t="e" vm="350">
        <f>$T$15</f>
        <v>#VALUE!</v>
      </c>
      <c r="K81" s="2" t="e" vm="74">
        <f>$AF$27</f>
        <v>#VALUE!</v>
      </c>
      <c r="L81" s="2" t="e" vm="184">
        <f>$Z$10</f>
        <v>#VALUE!</v>
      </c>
      <c r="M81" s="2" t="e" vm="227">
        <f>$AI$27</f>
        <v>#VALUE!</v>
      </c>
      <c r="N81" s="5" t="e" vm="97">
        <f>IF(OR(
E81="TravelerAnemo",
E81="TravelerGeo",
E81="TravelerElectro",
E81="TravelerDendro",
E81="TravelerHydro",
E81="TravelerPyro",
E81="TravelerCryo"),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1" s="2" t="e" vm="612">
        <f>_xlfn.IMAGE(_xlfn.CONCAT("https://raw.githubusercontent.com/ItsCryp7iC/Genshin-Image-Hosting/main/",AZ$1,"/",WeaponsImg[[#This Row],[Name]],".png"),WeaponsImg[[#This Row],[Name]])</f>
        <v>#VALUE!</v>
      </c>
      <c r="BA81" s="2" t="s">
        <v>554</v>
      </c>
    </row>
    <row r="82" spans="4:53" ht="30" customHeight="1" x14ac:dyDescent="0.25">
      <c r="D82" s="4" t="e" vm="613">
        <f>_xlfn.IMAGE(_xlfn.CONCAT("https://raw.githubusercontent.com/ItsCryp7iC/Genshin-Image-Hosting/main/",D$1,"/",CharacterDetailsImg[[#This Row],[Name]],".png"),CharacterDetailsImg[[#This Row],[Name]])</f>
        <v>#VALUE!</v>
      </c>
      <c r="E82" s="2" t="s">
        <v>559</v>
      </c>
      <c r="F82" s="2" t="e" vm="546">
        <f t="shared" si="4"/>
        <v>#VALUE!</v>
      </c>
      <c r="G82" s="2" t="e" vm="165">
        <f>$AW$9</f>
        <v>#VALUE!</v>
      </c>
      <c r="H82" s="13">
        <v>1.4</v>
      </c>
      <c r="I82" s="2" t="e" vm="166">
        <f>$P$5</f>
        <v>#VALUE!</v>
      </c>
      <c r="J82" s="2" t="e" vm="408">
        <f>$T$11</f>
        <v>#VALUE!</v>
      </c>
      <c r="K82" s="2" t="e" vm="9">
        <f>$AF$9</f>
        <v>#VALUE!</v>
      </c>
      <c r="L82" s="3" t="e" vm="435">
        <f>$Z$7</f>
        <v>#VALUE!</v>
      </c>
      <c r="M82" s="2" t="e" vm="532">
        <f>$AI$4</f>
        <v>#VALUE!</v>
      </c>
      <c r="N82" s="5" t="e" vm="169">
        <f>IF(OR(
E82="TravelerAnemo",
E82="TravelerGeo",
E82="TravelerElectro",
E82="TravelerDendro",
E82="TravelerHydro",
E82="TravelerPyro",
E82="TravelerCryo"),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2" s="2" t="e" vm="614">
        <f>_xlfn.IMAGE(_xlfn.CONCAT("https://raw.githubusercontent.com/ItsCryp7iC/Genshin-Image-Hosting/main/",AZ$1,"/",WeaponsImg[[#This Row],[Name]],".png"),WeaponsImg[[#This Row],[Name]])</f>
        <v>#VALUE!</v>
      </c>
      <c r="BA82" s="2" t="s">
        <v>556</v>
      </c>
    </row>
    <row r="83" spans="4:53" ht="30" customHeight="1" x14ac:dyDescent="0.25">
      <c r="D83" s="4" t="e" vm="615">
        <f>_xlfn.IMAGE(_xlfn.CONCAT("https://raw.githubusercontent.com/ItsCryp7iC/Genshin-Image-Hosting/main/",D$1,"/",CharacterDetailsImg[[#This Row],[Name]],".png"),CharacterDetailsImg[[#This Row],[Name]])</f>
        <v>#VALUE!</v>
      </c>
      <c r="E83" s="2" t="s">
        <v>561</v>
      </c>
      <c r="F83" s="2" t="e" vm="546">
        <f t="shared" si="4"/>
        <v>#VALUE!</v>
      </c>
      <c r="G83" s="2" t="e" vm="165">
        <f>$AW$9</f>
        <v>#VALUE!</v>
      </c>
      <c r="H83" s="13">
        <v>2.4</v>
      </c>
      <c r="I83" s="2" t="e" vm="595">
        <f>$P$17</f>
        <v>#VALUE!</v>
      </c>
      <c r="J83" s="2" t="e" vm="579">
        <f>$T$16</f>
        <v>#VALUE!</v>
      </c>
      <c r="K83" s="2" t="e" vm="212">
        <f>$AF$12</f>
        <v>#VALUE!</v>
      </c>
      <c r="L83" s="2" t="e" vm="115">
        <f>$Z$9</f>
        <v>#VALUE!</v>
      </c>
      <c r="M83" s="2" t="e" vm="409">
        <f>$AI$15</f>
        <v>#VALUE!</v>
      </c>
      <c r="N83" s="5" t="e" vm="169">
        <f>IF(OR(
E83="TravelerAnemo",
E83="TravelerGeo",
E83="TravelerElectro",
E83="TravelerDendro",
E83="TravelerHydro",
E83="TravelerPyro",
E83="TravelerCryo"),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3" s="2" t="e" vm="616">
        <f>_xlfn.IMAGE(_xlfn.CONCAT("https://raw.githubusercontent.com/ItsCryp7iC/Genshin-Image-Hosting/main/",AZ$1,"/",WeaponsImg[[#This Row],[Name]],".png"),WeaponsImg[[#This Row],[Name]])</f>
        <v>#VALUE!</v>
      </c>
      <c r="BA83" s="2" t="s">
        <v>558</v>
      </c>
    </row>
    <row r="84" spans="4:53" ht="30" customHeight="1" x14ac:dyDescent="0.25">
      <c r="D84" s="4" t="e" vm="617">
        <f>_xlfn.IMAGE(_xlfn.CONCAT("https://raw.githubusercontent.com/ItsCryp7iC/Genshin-Image-Hosting/main/",D$1,"/",CharacterDetailsImg[[#This Row],[Name]],".png"),CharacterDetailsImg[[#This Row],[Name]])</f>
        <v>#VALUE!</v>
      </c>
      <c r="E84" s="2" t="s">
        <v>563</v>
      </c>
      <c r="F84" s="2" t="e" vm="546">
        <f t="shared" si="4"/>
        <v>#VALUE!</v>
      </c>
      <c r="G84" s="2" t="e" vm="50">
        <f>$AW$8</f>
        <v>#VALUE!</v>
      </c>
      <c r="H84" s="13">
        <v>2.2000000000000002</v>
      </c>
      <c r="I84" s="2" t="e" vm="473">
        <f>$P$13</f>
        <v>#VALUE!</v>
      </c>
      <c r="J84" s="2" t="e" vm="579">
        <f>$T$16</f>
        <v>#VALUE!</v>
      </c>
      <c r="K84" s="2" t="e" vm="226">
        <f>$AF$21</f>
        <v>#VALUE!</v>
      </c>
      <c r="L84" s="3" t="e" vm="54">
        <f>$Z$8</f>
        <v>#VALUE!</v>
      </c>
      <c r="M84" s="2" t="e" vm="618">
        <f>$AI$28</f>
        <v>#VALUE!</v>
      </c>
      <c r="N84" s="5" t="e" vm="56">
        <f>IF(OR(
E84="TravelerAnemo",
E84="TravelerGeo",
E84="TravelerElectro",
E84="TravelerDendro",
E84="TravelerHydro",
E84="TravelerPyro",
E84="TravelerCryo"),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4" s="2" t="e" vm="619">
        <f>_xlfn.IMAGE(_xlfn.CONCAT("https://raw.githubusercontent.com/ItsCryp7iC/Genshin-Image-Hosting/main/",AZ$1,"/",WeaponsImg[[#This Row],[Name]],".png"),WeaponsImg[[#This Row],[Name]])</f>
        <v>#VALUE!</v>
      </c>
      <c r="BA84" s="2" t="s">
        <v>560</v>
      </c>
    </row>
    <row r="85" spans="4:53" ht="30" customHeight="1" x14ac:dyDescent="0.25">
      <c r="D85" s="4" t="e" vm="620">
        <f>_xlfn.IMAGE(_xlfn.CONCAT("https://raw.githubusercontent.com/ItsCryp7iC/Genshin-Image-Hosting/main/",D$1,"/",CharacterDetailsImg[[#This Row],[Name]],".png"),CharacterDetailsImg[[#This Row],[Name]])</f>
        <v>#VALUE!</v>
      </c>
      <c r="E85" s="2" t="s">
        <v>565</v>
      </c>
      <c r="F85" s="2" t="e" vm="546">
        <f t="shared" si="4"/>
        <v>#VALUE!</v>
      </c>
      <c r="G85" s="2" t="e" vm="50">
        <f>$AW$8</f>
        <v>#VALUE!</v>
      </c>
      <c r="H85" s="13">
        <v>1</v>
      </c>
      <c r="I85" s="2" t="e" vm="51">
        <f>$P$6</f>
        <v>#VALUE!</v>
      </c>
      <c r="J85" s="2" t="e" vm="531">
        <f>$T$4</f>
        <v>#VALUE!</v>
      </c>
      <c r="K85" s="2" t="e" vm="151">
        <f>$AF$15</f>
        <v>#VALUE!</v>
      </c>
      <c r="L85" s="2" t="e" vm="462">
        <f>$Z$3</f>
        <v>#VALUE!</v>
      </c>
      <c r="M85" s="2" t="e" vm="621">
        <f>$AI$11</f>
        <v>#VALUE!</v>
      </c>
      <c r="N85" s="5" t="e" vm="56">
        <f>IF(OR(
E85="TravelerAnemo",
E85="TravelerGeo",
E85="TravelerElectro",
E85="TravelerDendro",
E85="TravelerHydro",
E85="TravelerPyro",
E85="TravelerCryo"),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5" s="2" t="e" vm="622">
        <f>_xlfn.IMAGE(_xlfn.CONCAT("https://raw.githubusercontent.com/ItsCryp7iC/Genshin-Image-Hosting/main/",AZ$1,"/",WeaponsImg[[#This Row],[Name]],".png"),WeaponsImg[[#This Row],[Name]])</f>
        <v>#VALUE!</v>
      </c>
      <c r="BA85" s="2" t="s">
        <v>562</v>
      </c>
    </row>
    <row r="86" spans="4:53" ht="30" customHeight="1" x14ac:dyDescent="0.25">
      <c r="D86" s="4" t="e" vm="623">
        <f>_xlfn.IMAGE(_xlfn.CONCAT("https://raw.githubusercontent.com/ItsCryp7iC/Genshin-Image-Hosting/main/",D$1,"/",CharacterDetailsImg[[#This Row],[Name]],".png"),CharacterDetailsImg[[#This Row],[Name]])</f>
        <v>#VALUE!</v>
      </c>
      <c r="E86" s="2" t="s">
        <v>567</v>
      </c>
      <c r="F86" s="2" t="e" vm="546">
        <f t="shared" si="4"/>
        <v>#VALUE!</v>
      </c>
      <c r="G86" s="2" t="e" vm="131">
        <f>$AW$3</f>
        <v>#VALUE!</v>
      </c>
      <c r="H86" s="13">
        <v>1.3</v>
      </c>
      <c r="I86" s="2" t="e" vm="598">
        <f>$P$9</f>
        <v>#VALUE!</v>
      </c>
      <c r="J86" s="2" t="e" vm="408">
        <f>$T$11</f>
        <v>#VALUE!</v>
      </c>
      <c r="K86" s="2" t="e" vm="212">
        <f>$AF$12</f>
        <v>#VALUE!</v>
      </c>
      <c r="L86" s="2" t="e" vm="462">
        <f>$Z$3</f>
        <v>#VALUE!</v>
      </c>
      <c r="M86" s="2" t="e" vm="409">
        <f>$AI$15</f>
        <v>#VALUE!</v>
      </c>
      <c r="N86" s="5" t="e" vm="135">
        <f>IF(OR(
E86="TravelerAnemo",
E86="TravelerGeo",
E86="TravelerElectro",
E86="TravelerDendro",
E86="TravelerHydro",
E86="TravelerPyro",
E86="TravelerCryo"),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6" s="2" t="e" vm="624">
        <f>_xlfn.IMAGE(_xlfn.CONCAT("https://raw.githubusercontent.com/ItsCryp7iC/Genshin-Image-Hosting/main/",AZ$1,"/",WeaponsImg[[#This Row],[Name]],".png"),WeaponsImg[[#This Row],[Name]])</f>
        <v>#VALUE!</v>
      </c>
      <c r="BA86" s="2" t="s">
        <v>564</v>
      </c>
    </row>
    <row r="87" spans="4:53" ht="30" customHeight="1" x14ac:dyDescent="0.25">
      <c r="D87" s="4" t="e" vm="625">
        <f>_xlfn.IMAGE(_xlfn.CONCAT("https://raw.githubusercontent.com/ItsCryp7iC/Genshin-Image-Hosting/main/",D$1,"/",CharacterDetailsImg[[#This Row],[Name]],".png"),CharacterDetailsImg[[#This Row],[Name]])</f>
        <v>#VALUE!</v>
      </c>
      <c r="E87" s="2" t="s">
        <v>569</v>
      </c>
      <c r="F87" s="2" t="e" vm="546">
        <f t="shared" si="4"/>
        <v>#VALUE!</v>
      </c>
      <c r="G87" s="2" t="e" vm="28">
        <f>$AW$6</f>
        <v>#VALUE!</v>
      </c>
      <c r="H87" s="13">
        <v>3.4</v>
      </c>
      <c r="I87" s="2" t="e" vm="522">
        <f>$P$23</f>
        <v>#VALUE!</v>
      </c>
      <c r="J87" s="2" t="e" vm="443">
        <f>$T$23</f>
        <v>#VALUE!</v>
      </c>
      <c r="K87" s="2" t="e" vm="151">
        <f>$AF$15</f>
        <v>#VALUE!</v>
      </c>
      <c r="L87" s="2" t="e" vm="462">
        <f>$Z$3</f>
        <v>#VALUE!</v>
      </c>
      <c r="M87" s="2" t="e" vm="621">
        <f>$AI$11</f>
        <v>#VALUE!</v>
      </c>
      <c r="N87" s="5" t="e" vm="34">
        <f>IF(OR(
E87="TravelerAnemo",
E87="TravelerGeo",
E87="TravelerElectro",
E87="TravelerDendro",
E87="TravelerHydro",
E87="TravelerPyro",
E87="TravelerCryo"),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7" s="2" t="e" vm="626">
        <f>_xlfn.IMAGE(_xlfn.CONCAT("https://raw.githubusercontent.com/ItsCryp7iC/Genshin-Image-Hosting/main/",AZ$1,"/",WeaponsImg[[#This Row],[Name]],".png"),WeaponsImg[[#This Row],[Name]])</f>
        <v>#VALUE!</v>
      </c>
      <c r="BA87" s="2" t="s">
        <v>566</v>
      </c>
    </row>
    <row r="88" spans="4:53" ht="30" customHeight="1" x14ac:dyDescent="0.25">
      <c r="D88" s="4" t="e" vm="627">
        <f>_xlfn.IMAGE(_xlfn.CONCAT("https://raw.githubusercontent.com/ItsCryp7iC/Genshin-Image-Hosting/main/",D$1,"/",CharacterDetailsImg[[#This Row],[Name]],".png"),CharacterDetailsImg[[#This Row],[Name]])</f>
        <v>#VALUE!</v>
      </c>
      <c r="E88" s="2" t="s">
        <v>571</v>
      </c>
      <c r="F88" s="2" t="e" vm="546">
        <f t="shared" si="4"/>
        <v>#VALUE!</v>
      </c>
      <c r="G88" s="2" t="e" vm="6">
        <f>$AW$4</f>
        <v>#VALUE!</v>
      </c>
      <c r="H88" s="13">
        <v>2.4</v>
      </c>
      <c r="I88" s="2" t="e" vm="480">
        <f>$P$16</f>
        <v>#VALUE!</v>
      </c>
      <c r="J88" s="2" t="e" vm="425">
        <f>$T$17</f>
        <v>#VALUE!</v>
      </c>
      <c r="K88" s="2" t="e" vm="151">
        <f>$AF$15</f>
        <v>#VALUE!</v>
      </c>
      <c r="L88" s="2" t="e" vm="133">
        <f>$Z$4</f>
        <v>#VALUE!</v>
      </c>
      <c r="M88" s="2" t="e" vm="576">
        <f>$AI$14</f>
        <v>#VALUE!</v>
      </c>
      <c r="N88" s="5" t="e" vm="12">
        <f>IF(OR(
E88="TravelerAnemo",
E88="TravelerGeo",
E88="TravelerElectro",
E88="TravelerDendro",
E88="TravelerHydro",
E88="TravelerPyro",
E88="TravelerCryo"),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8" s="2" t="e" vm="628">
        <f>_xlfn.IMAGE(_xlfn.CONCAT("https://raw.githubusercontent.com/ItsCryp7iC/Genshin-Image-Hosting/main/",AZ$1,"/",WeaponsImg[[#This Row],[Name]],".png"),WeaponsImg[[#This Row],[Name]])</f>
        <v>#VALUE!</v>
      </c>
      <c r="BA88" s="2" t="s">
        <v>568</v>
      </c>
    </row>
    <row r="89" spans="4:53" ht="30" customHeight="1" x14ac:dyDescent="0.25">
      <c r="D89" s="6" t="e" vm="629">
        <f>_xlfn.IMAGE(_xlfn.CONCAT("https://raw.githubusercontent.com/ItsCryp7iC/Genshin-Image-Hosting/main/",D$1,"/",CharacterDetailsImg[[#This Row],[Name]],".png"),CharacterDetailsImg[[#This Row],[Name]])</f>
        <v>#VALUE!</v>
      </c>
      <c r="E89" s="7" t="s">
        <v>573</v>
      </c>
      <c r="F89" s="7" t="e" vm="546">
        <f t="shared" si="4"/>
        <v>#VALUE!</v>
      </c>
      <c r="G89" s="7" t="e" vm="6">
        <f>$AW$4</f>
        <v>#VALUE!</v>
      </c>
      <c r="H89" s="18">
        <v>1.1000000000000001</v>
      </c>
      <c r="I89" s="2" t="e" vm="7">
        <f>$P$8</f>
        <v>#VALUE!</v>
      </c>
      <c r="J89" s="7" t="e" vm="8">
        <f>$T$9</f>
        <v>#VALUE!</v>
      </c>
      <c r="K89" s="7" t="e" vm="338">
        <f>$AF$18</f>
        <v>#VALUE!</v>
      </c>
      <c r="L89" s="7" t="e" vm="462">
        <f>$Z$3</f>
        <v>#VALUE!</v>
      </c>
      <c r="M89" s="7" t="e" vm="213">
        <f>$AI$18</f>
        <v>#VALUE!</v>
      </c>
      <c r="N89" s="8" t="e" vm="12">
        <f>IF(OR(
E89="TravelerAnemo",
E89="TravelerGeo",
E89="TravelerElectro",
E89="TravelerDendro",
E89="TravelerHydro",
E89="TravelerPyro",
E89="TravelerCryo"),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9" s="2" t="e" vm="630">
        <f>_xlfn.IMAGE(_xlfn.CONCAT("https://raw.githubusercontent.com/ItsCryp7iC/Genshin-Image-Hosting/main/",AZ$1,"/",WeaponsImg[[#This Row],[Name]],".png"),WeaponsImg[[#This Row],[Name]])</f>
        <v>#VALUE!</v>
      </c>
      <c r="BA89" s="2" t="s">
        <v>570</v>
      </c>
    </row>
    <row r="90" spans="4:53" ht="30" customHeight="1" x14ac:dyDescent="0.25">
      <c r="AZ90" s="2" t="e" vm="631">
        <f>_xlfn.IMAGE(_xlfn.CONCAT("https://raw.githubusercontent.com/ItsCryp7iC/Genshin-Image-Hosting/main/",AZ$1,"/",WeaponsImg[[#This Row],[Name]],".png"),WeaponsImg[[#This Row],[Name]])</f>
        <v>#VALUE!</v>
      </c>
      <c r="BA90" s="2" t="s">
        <v>572</v>
      </c>
    </row>
    <row r="91" spans="4:53" ht="30" customHeight="1" x14ac:dyDescent="0.25">
      <c r="AZ91" s="2" t="e" vm="632">
        <f>_xlfn.IMAGE(_xlfn.CONCAT("https://raw.githubusercontent.com/ItsCryp7iC/Genshin-Image-Hosting/main/",AZ$1,"/",WeaponsImg[[#This Row],[Name]],".png"),WeaponsImg[[#This Row],[Name]])</f>
        <v>#VALUE!</v>
      </c>
      <c r="BA91" s="2" t="s">
        <v>574</v>
      </c>
    </row>
    <row r="92" spans="4:53" ht="30" customHeight="1" x14ac:dyDescent="0.25">
      <c r="AZ92" s="2" t="e" vm="633">
        <f>_xlfn.IMAGE(_xlfn.CONCAT("https://raw.githubusercontent.com/ItsCryp7iC/Genshin-Image-Hosting/main/",AZ$1,"/",WeaponsImg[[#This Row],[Name]],".png"),WeaponsImg[[#This Row],[Name]])</f>
        <v>#VALUE!</v>
      </c>
      <c r="BA92" s="2" t="s">
        <v>575</v>
      </c>
    </row>
    <row r="93" spans="4:53" ht="30" customHeight="1" x14ac:dyDescent="0.25">
      <c r="AZ93" s="2" t="e" vm="634">
        <f>_xlfn.IMAGE(_xlfn.CONCAT("https://raw.githubusercontent.com/ItsCryp7iC/Genshin-Image-Hosting/main/",AZ$1,"/",WeaponsImg[[#This Row],[Name]],".png"),WeaponsImg[[#This Row],[Name]])</f>
        <v>#VALUE!</v>
      </c>
      <c r="BA93" s="2" t="s">
        <v>576</v>
      </c>
    </row>
    <row r="94" spans="4:53" ht="30" customHeight="1" x14ac:dyDescent="0.25">
      <c r="AZ94" s="2" t="e" vm="635">
        <f>_xlfn.IMAGE(_xlfn.CONCAT("https://raw.githubusercontent.com/ItsCryp7iC/Genshin-Image-Hosting/main/",AZ$1,"/",WeaponsImg[[#This Row],[Name]],".png"),WeaponsImg[[#This Row],[Name]])</f>
        <v>#VALUE!</v>
      </c>
      <c r="BA94" s="2" t="s">
        <v>577</v>
      </c>
    </row>
    <row r="95" spans="4:53" ht="30" customHeight="1" x14ac:dyDescent="0.25">
      <c r="AZ95" s="2" t="e" vm="636">
        <f>_xlfn.IMAGE(_xlfn.CONCAT("https://raw.githubusercontent.com/ItsCryp7iC/Genshin-Image-Hosting/main/",AZ$1,"/",WeaponsImg[[#This Row],[Name]],".png"),WeaponsImg[[#This Row],[Name]])</f>
        <v>#VALUE!</v>
      </c>
      <c r="BA95" s="2" t="s">
        <v>578</v>
      </c>
    </row>
    <row r="96" spans="4:53" ht="30" customHeight="1" x14ac:dyDescent="0.25">
      <c r="AZ96" s="2" t="e" vm="637">
        <f>_xlfn.IMAGE(_xlfn.CONCAT("https://raw.githubusercontent.com/ItsCryp7iC/Genshin-Image-Hosting/main/",AZ$1,"/",WeaponsImg[[#This Row],[Name]],".png"),WeaponsImg[[#This Row],[Name]])</f>
        <v>#VALUE!</v>
      </c>
      <c r="BA96" s="2" t="s">
        <v>579</v>
      </c>
    </row>
    <row r="97" spans="52:53" ht="30" customHeight="1" x14ac:dyDescent="0.25">
      <c r="AZ97" s="2" t="e" vm="638">
        <f>_xlfn.IMAGE(_xlfn.CONCAT("https://raw.githubusercontent.com/ItsCryp7iC/Genshin-Image-Hosting/main/",AZ$1,"/",WeaponsImg[[#This Row],[Name]],".png"),WeaponsImg[[#This Row],[Name]])</f>
        <v>#VALUE!</v>
      </c>
      <c r="BA97" s="2" t="s">
        <v>580</v>
      </c>
    </row>
    <row r="98" spans="52:53" ht="30" customHeight="1" x14ac:dyDescent="0.25">
      <c r="AZ98" s="2" t="e" vm="639">
        <f>_xlfn.IMAGE(_xlfn.CONCAT("https://raw.githubusercontent.com/ItsCryp7iC/Genshin-Image-Hosting/main/",AZ$1,"/",WeaponsImg[[#This Row],[Name]],".png"),WeaponsImg[[#This Row],[Name]])</f>
        <v>#VALUE!</v>
      </c>
      <c r="BA98" s="2" t="s">
        <v>581</v>
      </c>
    </row>
    <row r="99" spans="52:53" ht="30" customHeight="1" x14ac:dyDescent="0.25">
      <c r="AZ99" s="2" t="e" vm="640">
        <f>_xlfn.IMAGE(_xlfn.CONCAT("https://raw.githubusercontent.com/ItsCryp7iC/Genshin-Image-Hosting/main/",AZ$1,"/",WeaponsImg[[#This Row],[Name]],".png"),WeaponsImg[[#This Row],[Name]])</f>
        <v>#VALUE!</v>
      </c>
      <c r="BA99" s="2" t="s">
        <v>582</v>
      </c>
    </row>
    <row r="100" spans="52:53" ht="30" customHeight="1" x14ac:dyDescent="0.25">
      <c r="AZ100" s="2" t="e" vm="641">
        <f>_xlfn.IMAGE(_xlfn.CONCAT("https://raw.githubusercontent.com/ItsCryp7iC/Genshin-Image-Hosting/main/",AZ$1,"/",WeaponsImg[[#This Row],[Name]],".png"),WeaponsImg[[#This Row],[Name]])</f>
        <v>#VALUE!</v>
      </c>
      <c r="BA100" s="2" t="s">
        <v>583</v>
      </c>
    </row>
    <row r="101" spans="52:53" ht="30" customHeight="1" x14ac:dyDescent="0.25">
      <c r="AZ101" s="2" t="e" vm="642">
        <f>_xlfn.IMAGE(_xlfn.CONCAT("https://raw.githubusercontent.com/ItsCryp7iC/Genshin-Image-Hosting/main/",AZ$1,"/",WeaponsImg[[#This Row],[Name]],".png"),WeaponsImg[[#This Row],[Name]])</f>
        <v>#VALUE!</v>
      </c>
      <c r="BA101" s="2" t="s">
        <v>584</v>
      </c>
    </row>
    <row r="102" spans="52:53" ht="30" customHeight="1" x14ac:dyDescent="0.25">
      <c r="AZ102" s="2" t="e" vm="643">
        <f>_xlfn.IMAGE(_xlfn.CONCAT("https://raw.githubusercontent.com/ItsCryp7iC/Genshin-Image-Hosting/main/",AZ$1,"/",WeaponsImg[[#This Row],[Name]],".png"),WeaponsImg[[#This Row],[Name]])</f>
        <v>#VALUE!</v>
      </c>
      <c r="BA102" s="2" t="s">
        <v>585</v>
      </c>
    </row>
    <row r="103" spans="52:53" ht="30" customHeight="1" x14ac:dyDescent="0.25">
      <c r="AZ103" s="2" t="e" vm="644">
        <f>_xlfn.IMAGE(_xlfn.CONCAT("https://raw.githubusercontent.com/ItsCryp7iC/Genshin-Image-Hosting/main/",AZ$1,"/",WeaponsImg[[#This Row],[Name]],".png"),WeaponsImg[[#This Row],[Name]])</f>
        <v>#VALUE!</v>
      </c>
      <c r="BA103" s="2" t="s">
        <v>586</v>
      </c>
    </row>
    <row r="104" spans="52:53" ht="30" customHeight="1" x14ac:dyDescent="0.25">
      <c r="AZ104" s="2" t="e" vm="645">
        <f>_xlfn.IMAGE(_xlfn.CONCAT("https://raw.githubusercontent.com/ItsCryp7iC/Genshin-Image-Hosting/main/",AZ$1,"/",WeaponsImg[[#This Row],[Name]],".png"),WeaponsImg[[#This Row],[Name]])</f>
        <v>#VALUE!</v>
      </c>
      <c r="BA104" s="2" t="s">
        <v>587</v>
      </c>
    </row>
    <row r="105" spans="52:53" ht="30" customHeight="1" x14ac:dyDescent="0.25">
      <c r="AZ105" s="2" t="e" vm="646">
        <f>_xlfn.IMAGE(_xlfn.CONCAT("https://raw.githubusercontent.com/ItsCryp7iC/Genshin-Image-Hosting/main/",AZ$1,"/",WeaponsImg[[#This Row],[Name]],".png"),WeaponsImg[[#This Row],[Name]])</f>
        <v>#VALUE!</v>
      </c>
      <c r="BA105" s="2" t="s">
        <v>588</v>
      </c>
    </row>
    <row r="106" spans="52:53" ht="30" customHeight="1" x14ac:dyDescent="0.25">
      <c r="AZ106" s="2" t="e" vm="647">
        <f>_xlfn.IMAGE(_xlfn.CONCAT("https://raw.githubusercontent.com/ItsCryp7iC/Genshin-Image-Hosting/main/",AZ$1,"/",WeaponsImg[[#This Row],[Name]],".png"),WeaponsImg[[#This Row],[Name]])</f>
        <v>#VALUE!</v>
      </c>
      <c r="BA106" s="2" t="s">
        <v>589</v>
      </c>
    </row>
    <row r="107" spans="52:53" ht="30" customHeight="1" x14ac:dyDescent="0.25">
      <c r="AZ107" s="2" t="e" vm="648">
        <f>_xlfn.IMAGE(_xlfn.CONCAT("https://raw.githubusercontent.com/ItsCryp7iC/Genshin-Image-Hosting/main/",AZ$1,"/",WeaponsImg[[#This Row],[Name]],".png"),WeaponsImg[[#This Row],[Name]])</f>
        <v>#VALUE!</v>
      </c>
      <c r="BA107" s="2" t="s">
        <v>590</v>
      </c>
    </row>
    <row r="108" spans="52:53" ht="30" customHeight="1" x14ac:dyDescent="0.25">
      <c r="AZ108" s="2" t="e" vm="649">
        <f>_xlfn.IMAGE(_xlfn.CONCAT("https://raw.githubusercontent.com/ItsCryp7iC/Genshin-Image-Hosting/main/",AZ$1,"/",WeaponsImg[[#This Row],[Name]],".png"),WeaponsImg[[#This Row],[Name]])</f>
        <v>#VALUE!</v>
      </c>
      <c r="BA108" s="2" t="s">
        <v>591</v>
      </c>
    </row>
    <row r="109" spans="52:53" ht="30" customHeight="1" x14ac:dyDescent="0.25">
      <c r="AZ109" s="2" t="e" vm="650">
        <f>_xlfn.IMAGE(_xlfn.CONCAT("https://raw.githubusercontent.com/ItsCryp7iC/Genshin-Image-Hosting/main/",AZ$1,"/",WeaponsImg[[#This Row],[Name]],".png"),WeaponsImg[[#This Row],[Name]])</f>
        <v>#VALUE!</v>
      </c>
      <c r="BA109" s="2" t="s">
        <v>592</v>
      </c>
    </row>
    <row r="110" spans="52:53" ht="30" customHeight="1" x14ac:dyDescent="0.25">
      <c r="AZ110" s="2" t="e" vm="651">
        <f>_xlfn.IMAGE(_xlfn.CONCAT("https://raw.githubusercontent.com/ItsCryp7iC/Genshin-Image-Hosting/main/",AZ$1,"/",WeaponsImg[[#This Row],[Name]],".png"),WeaponsImg[[#This Row],[Name]])</f>
        <v>#VALUE!</v>
      </c>
      <c r="BA110" s="2" t="s">
        <v>593</v>
      </c>
    </row>
    <row r="111" spans="52:53" ht="30" customHeight="1" x14ac:dyDescent="0.25">
      <c r="AZ111" s="2" t="e" vm="652">
        <f>_xlfn.IMAGE(_xlfn.CONCAT("https://raw.githubusercontent.com/ItsCryp7iC/Genshin-Image-Hosting/main/",AZ$1,"/",WeaponsImg[[#This Row],[Name]],".png"),WeaponsImg[[#This Row],[Name]])</f>
        <v>#VALUE!</v>
      </c>
      <c r="BA111" s="2" t="s">
        <v>594</v>
      </c>
    </row>
    <row r="112" spans="52:53" ht="30" customHeight="1" x14ac:dyDescent="0.25">
      <c r="AZ112" s="2" t="e" vm="653">
        <f>_xlfn.IMAGE(_xlfn.CONCAT("https://raw.githubusercontent.com/ItsCryp7iC/Genshin-Image-Hosting/main/",AZ$1,"/",WeaponsImg[[#This Row],[Name]],".png"),WeaponsImg[[#This Row],[Name]])</f>
        <v>#VALUE!</v>
      </c>
      <c r="BA112" s="2" t="s">
        <v>595</v>
      </c>
    </row>
    <row r="113" spans="52:53" ht="30" customHeight="1" x14ac:dyDescent="0.25">
      <c r="AZ113" s="2" t="e" vm="654">
        <f>_xlfn.IMAGE(_xlfn.CONCAT("https://raw.githubusercontent.com/ItsCryp7iC/Genshin-Image-Hosting/main/",AZ$1,"/",WeaponsImg[[#This Row],[Name]],".png"),WeaponsImg[[#This Row],[Name]])</f>
        <v>#VALUE!</v>
      </c>
      <c r="BA113" s="2" t="s">
        <v>596</v>
      </c>
    </row>
    <row r="114" spans="52:53" ht="30" customHeight="1" x14ac:dyDescent="0.25">
      <c r="AZ114" s="2" t="e" vm="655">
        <f>_xlfn.IMAGE(_xlfn.CONCAT("https://raw.githubusercontent.com/ItsCryp7iC/Genshin-Image-Hosting/main/",AZ$1,"/",WeaponsImg[[#This Row],[Name]],".png"),WeaponsImg[[#This Row],[Name]])</f>
        <v>#VALUE!</v>
      </c>
      <c r="BA114" s="2" t="s">
        <v>597</v>
      </c>
    </row>
    <row r="115" spans="52:53" ht="30" customHeight="1" x14ac:dyDescent="0.25">
      <c r="AZ115" s="2" t="e" vm="656">
        <f>_xlfn.IMAGE(_xlfn.CONCAT("https://raw.githubusercontent.com/ItsCryp7iC/Genshin-Image-Hosting/main/",AZ$1,"/",WeaponsImg[[#This Row],[Name]],".png"),WeaponsImg[[#This Row],[Name]])</f>
        <v>#VALUE!</v>
      </c>
      <c r="BA115" s="2" t="s">
        <v>598</v>
      </c>
    </row>
    <row r="116" spans="52:53" ht="30" customHeight="1" x14ac:dyDescent="0.25">
      <c r="AZ116" s="2" t="e" vm="657">
        <f>_xlfn.IMAGE(_xlfn.CONCAT("https://raw.githubusercontent.com/ItsCryp7iC/Genshin-Image-Hosting/main/",AZ$1,"/",WeaponsImg[[#This Row],[Name]],".png"),WeaponsImg[[#This Row],[Name]])</f>
        <v>#VALUE!</v>
      </c>
      <c r="BA116" s="2" t="s">
        <v>599</v>
      </c>
    </row>
    <row r="117" spans="52:53" ht="30" customHeight="1" x14ac:dyDescent="0.25">
      <c r="AZ117" s="2" t="e" vm="658">
        <f>_xlfn.IMAGE(_xlfn.CONCAT("https://raw.githubusercontent.com/ItsCryp7iC/Genshin-Image-Hosting/main/",AZ$1,"/",WeaponsImg[[#This Row],[Name]],".png"),WeaponsImg[[#This Row],[Name]])</f>
        <v>#VALUE!</v>
      </c>
      <c r="BA117" s="2" t="s">
        <v>600</v>
      </c>
    </row>
    <row r="118" spans="52:53" ht="30" customHeight="1" x14ac:dyDescent="0.25">
      <c r="AZ118" s="2" t="e" vm="659">
        <f>_xlfn.IMAGE(_xlfn.CONCAT("https://raw.githubusercontent.com/ItsCryp7iC/Genshin-Image-Hosting/main/",AZ$1,"/",WeaponsImg[[#This Row],[Name]],".png"),WeaponsImg[[#This Row],[Name]])</f>
        <v>#VALUE!</v>
      </c>
      <c r="BA118" s="2" t="s">
        <v>601</v>
      </c>
    </row>
    <row r="119" spans="52:53" ht="30" customHeight="1" x14ac:dyDescent="0.25">
      <c r="AZ119" s="2" t="e" vm="660">
        <f>_xlfn.IMAGE(_xlfn.CONCAT("https://raw.githubusercontent.com/ItsCryp7iC/Genshin-Image-Hosting/main/",AZ$1,"/",WeaponsImg[[#This Row],[Name]],".png"),WeaponsImg[[#This Row],[Name]])</f>
        <v>#VALUE!</v>
      </c>
      <c r="BA119" s="2" t="s">
        <v>602</v>
      </c>
    </row>
    <row r="120" spans="52:53" ht="30" customHeight="1" x14ac:dyDescent="0.25">
      <c r="AZ120" s="2" t="e" vm="661">
        <f>_xlfn.IMAGE(_xlfn.CONCAT("https://raw.githubusercontent.com/ItsCryp7iC/Genshin-Image-Hosting/main/",AZ$1,"/",WeaponsImg[[#This Row],[Name]],".png"),WeaponsImg[[#This Row],[Name]])</f>
        <v>#VALUE!</v>
      </c>
      <c r="BA120" s="2" t="s">
        <v>603</v>
      </c>
    </row>
    <row r="121" spans="52:53" ht="30" customHeight="1" x14ac:dyDescent="0.25">
      <c r="AZ121" s="2" t="e" vm="662">
        <f>_xlfn.IMAGE(_xlfn.CONCAT("https://raw.githubusercontent.com/ItsCryp7iC/Genshin-Image-Hosting/main/",AZ$1,"/",WeaponsImg[[#This Row],[Name]],".png"),WeaponsImg[[#This Row],[Name]])</f>
        <v>#VALUE!</v>
      </c>
      <c r="BA121" s="2" t="s">
        <v>604</v>
      </c>
    </row>
    <row r="122" spans="52:53" ht="30" customHeight="1" x14ac:dyDescent="0.25">
      <c r="AZ122" s="2" t="e" vm="663">
        <f>_xlfn.IMAGE(_xlfn.CONCAT("https://raw.githubusercontent.com/ItsCryp7iC/Genshin-Image-Hosting/main/",AZ$1,"/",WeaponsImg[[#This Row],[Name]],".png"),WeaponsImg[[#This Row],[Name]])</f>
        <v>#VALUE!</v>
      </c>
      <c r="BA122" s="2" t="s">
        <v>605</v>
      </c>
    </row>
    <row r="123" spans="52:53" ht="30" customHeight="1" x14ac:dyDescent="0.25">
      <c r="AZ123" s="2" t="e" vm="664">
        <f>_xlfn.IMAGE(_xlfn.CONCAT("https://raw.githubusercontent.com/ItsCryp7iC/Genshin-Image-Hosting/main/",AZ$1,"/",WeaponsImg[[#This Row],[Name]],".png"),WeaponsImg[[#This Row],[Name]])</f>
        <v>#VALUE!</v>
      </c>
      <c r="BA123" s="2" t="s">
        <v>606</v>
      </c>
    </row>
    <row r="124" spans="52:53" ht="30" customHeight="1" x14ac:dyDescent="0.25">
      <c r="AZ124" s="2" t="e" vm="665">
        <f>_xlfn.IMAGE(_xlfn.CONCAT("https://raw.githubusercontent.com/ItsCryp7iC/Genshin-Image-Hosting/main/",AZ$1,"/",WeaponsImg[[#This Row],[Name]],".png"),WeaponsImg[[#This Row],[Name]])</f>
        <v>#VALUE!</v>
      </c>
      <c r="BA124" s="2" t="s">
        <v>607</v>
      </c>
    </row>
    <row r="125" spans="52:53" ht="30" customHeight="1" x14ac:dyDescent="0.25">
      <c r="AZ125" s="2" t="e" vm="666">
        <f>_xlfn.IMAGE(_xlfn.CONCAT("https://raw.githubusercontent.com/ItsCryp7iC/Genshin-Image-Hosting/main/",AZ$1,"/",WeaponsImg[[#This Row],[Name]],".png"),WeaponsImg[[#This Row],[Name]])</f>
        <v>#VALUE!</v>
      </c>
      <c r="BA125" s="2" t="s">
        <v>608</v>
      </c>
    </row>
    <row r="126" spans="52:53" ht="30" customHeight="1" x14ac:dyDescent="0.25">
      <c r="AZ126" s="2" t="e" vm="667">
        <f>_xlfn.IMAGE(_xlfn.CONCAT("https://raw.githubusercontent.com/ItsCryp7iC/Genshin-Image-Hosting/main/",AZ$1,"/",WeaponsImg[[#This Row],[Name]],".png"),WeaponsImg[[#This Row],[Name]])</f>
        <v>#VALUE!</v>
      </c>
      <c r="BA126" s="2" t="s">
        <v>609</v>
      </c>
    </row>
    <row r="127" spans="52:53" ht="30" customHeight="1" x14ac:dyDescent="0.25">
      <c r="AZ127" s="2" t="e" vm="668">
        <f>_xlfn.IMAGE(_xlfn.CONCAT("https://raw.githubusercontent.com/ItsCryp7iC/Genshin-Image-Hosting/main/",AZ$1,"/",WeaponsImg[[#This Row],[Name]],".png"),WeaponsImg[[#This Row],[Name]])</f>
        <v>#VALUE!</v>
      </c>
      <c r="BA127" s="2" t="s">
        <v>610</v>
      </c>
    </row>
    <row r="128" spans="52:53" ht="30" customHeight="1" x14ac:dyDescent="0.25">
      <c r="AZ128" s="2" t="e" vm="669">
        <f>_xlfn.IMAGE(_xlfn.CONCAT("https://raw.githubusercontent.com/ItsCryp7iC/Genshin-Image-Hosting/main/",AZ$1,"/",WeaponsImg[[#This Row],[Name]],".png"),WeaponsImg[[#This Row],[Name]])</f>
        <v>#VALUE!</v>
      </c>
      <c r="BA128" s="2" t="s">
        <v>611</v>
      </c>
    </row>
    <row r="129" spans="52:53" ht="30" customHeight="1" x14ac:dyDescent="0.25">
      <c r="AZ129" s="2" t="e" vm="670">
        <f>_xlfn.IMAGE(_xlfn.CONCAT("https://raw.githubusercontent.com/ItsCryp7iC/Genshin-Image-Hosting/main/",AZ$1,"/",WeaponsImg[[#This Row],[Name]],".png"),WeaponsImg[[#This Row],[Name]])</f>
        <v>#VALUE!</v>
      </c>
      <c r="BA129" s="2" t="s">
        <v>612</v>
      </c>
    </row>
    <row r="130" spans="52:53" ht="30" customHeight="1" x14ac:dyDescent="0.25">
      <c r="AZ130" s="2" t="e" vm="671">
        <f>_xlfn.IMAGE(_xlfn.CONCAT("https://raw.githubusercontent.com/ItsCryp7iC/Genshin-Image-Hosting/main/",AZ$1,"/",WeaponsImg[[#This Row],[Name]],".png"),WeaponsImg[[#This Row],[Name]])</f>
        <v>#VALUE!</v>
      </c>
      <c r="BA130" s="2" t="s">
        <v>613</v>
      </c>
    </row>
    <row r="131" spans="52:53" ht="30" customHeight="1" x14ac:dyDescent="0.25">
      <c r="AZ131" s="2" t="e" vm="672">
        <f>_xlfn.IMAGE(_xlfn.CONCAT("https://raw.githubusercontent.com/ItsCryp7iC/Genshin-Image-Hosting/main/",AZ$1,"/",WeaponsImg[[#This Row],[Name]],".png"),WeaponsImg[[#This Row],[Name]])</f>
        <v>#VALUE!</v>
      </c>
      <c r="BA131" s="2" t="s">
        <v>614</v>
      </c>
    </row>
    <row r="132" spans="52:53" ht="30" customHeight="1" x14ac:dyDescent="0.25">
      <c r="AZ132" s="2" t="e" vm="673">
        <f>_xlfn.IMAGE(_xlfn.CONCAT("https://raw.githubusercontent.com/ItsCryp7iC/Genshin-Image-Hosting/main/",AZ$1,"/",WeaponsImg[[#This Row],[Name]],".png"),WeaponsImg[[#This Row],[Name]])</f>
        <v>#VALUE!</v>
      </c>
      <c r="BA132" s="2" t="s">
        <v>615</v>
      </c>
    </row>
    <row r="133" spans="52:53" ht="30" customHeight="1" x14ac:dyDescent="0.25">
      <c r="AZ133" s="2" t="e" vm="674">
        <f>_xlfn.IMAGE(_xlfn.CONCAT("https://raw.githubusercontent.com/ItsCryp7iC/Genshin-Image-Hosting/main/",AZ$1,"/",WeaponsImg[[#This Row],[Name]],".png"),WeaponsImg[[#This Row],[Name]])</f>
        <v>#VALUE!</v>
      </c>
      <c r="BA133" s="2" t="s">
        <v>616</v>
      </c>
    </row>
    <row r="134" spans="52:53" ht="30" customHeight="1" x14ac:dyDescent="0.25">
      <c r="AZ134" s="2" t="e" vm="675">
        <f>_xlfn.IMAGE(_xlfn.CONCAT("https://raw.githubusercontent.com/ItsCryp7iC/Genshin-Image-Hosting/main/",AZ$1,"/",WeaponsImg[[#This Row],[Name]],".png"),WeaponsImg[[#This Row],[Name]])</f>
        <v>#VALUE!</v>
      </c>
      <c r="BA134" s="2" t="s">
        <v>617</v>
      </c>
    </row>
    <row r="135" spans="52:53" ht="30" customHeight="1" x14ac:dyDescent="0.25">
      <c r="AZ135" s="2" t="e" vm="676">
        <f>_xlfn.IMAGE(_xlfn.CONCAT("https://raw.githubusercontent.com/ItsCryp7iC/Genshin-Image-Hosting/main/",AZ$1,"/",WeaponsImg[[#This Row],[Name]],".png"),WeaponsImg[[#This Row],[Name]])</f>
        <v>#VALUE!</v>
      </c>
      <c r="BA135" s="2" t="s">
        <v>618</v>
      </c>
    </row>
    <row r="136" spans="52:53" ht="30" customHeight="1" x14ac:dyDescent="0.25">
      <c r="AZ136" s="2" t="e" vm="677">
        <f>_xlfn.IMAGE(_xlfn.CONCAT("https://raw.githubusercontent.com/ItsCryp7iC/Genshin-Image-Hosting/main/",AZ$1,"/",WeaponsImg[[#This Row],[Name]],".png"),WeaponsImg[[#This Row],[Name]])</f>
        <v>#VALUE!</v>
      </c>
      <c r="BA136" s="2" t="s">
        <v>619</v>
      </c>
    </row>
    <row r="137" spans="52:53" ht="30" customHeight="1" x14ac:dyDescent="0.25">
      <c r="AZ137" s="2" t="e" vm="678">
        <f>_xlfn.IMAGE(_xlfn.CONCAT("https://raw.githubusercontent.com/ItsCryp7iC/Genshin-Image-Hosting/main/",AZ$1,"/",WeaponsImg[[#This Row],[Name]],".png"),WeaponsImg[[#This Row],[Name]])</f>
        <v>#VALUE!</v>
      </c>
      <c r="BA137" s="2" t="s">
        <v>620</v>
      </c>
    </row>
    <row r="138" spans="52:53" ht="30" customHeight="1" x14ac:dyDescent="0.25">
      <c r="AZ138" s="2" t="e" vm="679">
        <f>_xlfn.IMAGE(_xlfn.CONCAT("https://raw.githubusercontent.com/ItsCryp7iC/Genshin-Image-Hosting/main/",AZ$1,"/",WeaponsImg[[#This Row],[Name]],".png"),WeaponsImg[[#This Row],[Name]])</f>
        <v>#VALUE!</v>
      </c>
      <c r="BA138" s="2" t="s">
        <v>621</v>
      </c>
    </row>
    <row r="139" spans="52:53" ht="30" customHeight="1" x14ac:dyDescent="0.25">
      <c r="AZ139" s="2" t="e" vm="680">
        <f>_xlfn.IMAGE(_xlfn.CONCAT("https://raw.githubusercontent.com/ItsCryp7iC/Genshin-Image-Hosting/main/",AZ$1,"/",WeaponsImg[[#This Row],[Name]],".png"),WeaponsImg[[#This Row],[Name]])</f>
        <v>#VALUE!</v>
      </c>
      <c r="BA139" s="2" t="s">
        <v>622</v>
      </c>
    </row>
    <row r="140" spans="52:53" ht="30" customHeight="1" x14ac:dyDescent="0.25">
      <c r="AZ140" s="2" t="e" vm="681">
        <f>_xlfn.IMAGE(_xlfn.CONCAT("https://raw.githubusercontent.com/ItsCryp7iC/Genshin-Image-Hosting/main/",AZ$1,"/",WeaponsImg[[#This Row],[Name]],".png"),WeaponsImg[[#This Row],[Name]])</f>
        <v>#VALUE!</v>
      </c>
      <c r="BA140" s="2" t="s">
        <v>623</v>
      </c>
    </row>
    <row r="141" spans="52:53" ht="30" customHeight="1" x14ac:dyDescent="0.25">
      <c r="AZ141" s="2" t="e" vm="682">
        <f>_xlfn.IMAGE(_xlfn.CONCAT("https://raw.githubusercontent.com/ItsCryp7iC/Genshin-Image-Hosting/main/",AZ$1,"/",WeaponsImg[[#This Row],[Name]],".png"),WeaponsImg[[#This Row],[Name]])</f>
        <v>#VALUE!</v>
      </c>
      <c r="BA141" s="2" t="s">
        <v>624</v>
      </c>
    </row>
    <row r="142" spans="52:53" ht="30" customHeight="1" x14ac:dyDescent="0.25">
      <c r="AZ142" s="2" t="e" vm="683">
        <f>_xlfn.IMAGE(_xlfn.CONCAT("https://raw.githubusercontent.com/ItsCryp7iC/Genshin-Image-Hosting/main/",AZ$1,"/",WeaponsImg[[#This Row],[Name]],".png"),WeaponsImg[[#This Row],[Name]])</f>
        <v>#VALUE!</v>
      </c>
      <c r="BA142" s="2" t="s">
        <v>625</v>
      </c>
    </row>
    <row r="143" spans="52:53" ht="30" customHeight="1" x14ac:dyDescent="0.25">
      <c r="AZ143" s="2" t="e" vm="684">
        <f>_xlfn.IMAGE(_xlfn.CONCAT("https://raw.githubusercontent.com/ItsCryp7iC/Genshin-Image-Hosting/main/",AZ$1,"/",WeaponsImg[[#This Row],[Name]],".png"),WeaponsImg[[#This Row],[Name]])</f>
        <v>#VALUE!</v>
      </c>
      <c r="BA143" s="2" t="s">
        <v>626</v>
      </c>
    </row>
    <row r="144" spans="52:53" ht="30" customHeight="1" x14ac:dyDescent="0.25">
      <c r="AZ144" s="2" t="e" vm="685">
        <f>_xlfn.IMAGE(_xlfn.CONCAT("https://raw.githubusercontent.com/ItsCryp7iC/Genshin-Image-Hosting/main/",AZ$1,"/",WeaponsImg[[#This Row],[Name]],".png"),WeaponsImg[[#This Row],[Name]])</f>
        <v>#VALUE!</v>
      </c>
      <c r="BA144" s="2" t="s">
        <v>627</v>
      </c>
    </row>
    <row r="145" spans="52:53" ht="30" customHeight="1" x14ac:dyDescent="0.25">
      <c r="AZ145" s="2" t="e" vm="686">
        <f>_xlfn.IMAGE(_xlfn.CONCAT("https://raw.githubusercontent.com/ItsCryp7iC/Genshin-Image-Hosting/main/",AZ$1,"/",WeaponsImg[[#This Row],[Name]],".png"),WeaponsImg[[#This Row],[Name]])</f>
        <v>#VALUE!</v>
      </c>
      <c r="BA145" s="2" t="s">
        <v>628</v>
      </c>
    </row>
    <row r="146" spans="52:53" ht="30" customHeight="1" x14ac:dyDescent="0.25">
      <c r="AZ146" s="2" t="e" vm="687">
        <f>_xlfn.IMAGE(_xlfn.CONCAT("https://raw.githubusercontent.com/ItsCryp7iC/Genshin-Image-Hosting/main/",AZ$1,"/",WeaponsImg[[#This Row],[Name]],".png"),WeaponsImg[[#This Row],[Name]])</f>
        <v>#VALUE!</v>
      </c>
      <c r="BA146" s="2" t="s">
        <v>629</v>
      </c>
    </row>
    <row r="147" spans="52:53" ht="30" customHeight="1" x14ac:dyDescent="0.25">
      <c r="AZ147" s="2" t="e" vm="688">
        <f>_xlfn.IMAGE(_xlfn.CONCAT("https://raw.githubusercontent.com/ItsCryp7iC/Genshin-Image-Hosting/main/",AZ$1,"/",WeaponsImg[[#This Row],[Name]],".png"),WeaponsImg[[#This Row],[Name]])</f>
        <v>#VALUE!</v>
      </c>
      <c r="BA147" s="2" t="s">
        <v>630</v>
      </c>
    </row>
    <row r="148" spans="52:53" ht="30" customHeight="1" x14ac:dyDescent="0.25">
      <c r="AZ148" s="2" t="e" vm="689">
        <f>_xlfn.IMAGE(_xlfn.CONCAT("https://raw.githubusercontent.com/ItsCryp7iC/Genshin-Image-Hosting/main/",AZ$1,"/",WeaponsImg[[#This Row],[Name]],".png"),WeaponsImg[[#This Row],[Name]])</f>
        <v>#VALUE!</v>
      </c>
      <c r="BA148" s="2" t="s">
        <v>631</v>
      </c>
    </row>
    <row r="149" spans="52:53" ht="30" customHeight="1" x14ac:dyDescent="0.25">
      <c r="AZ149" s="2" t="e" vm="690">
        <f>_xlfn.IMAGE(_xlfn.CONCAT("https://raw.githubusercontent.com/ItsCryp7iC/Genshin-Image-Hosting/main/",AZ$1,"/",WeaponsImg[[#This Row],[Name]],".png"),WeaponsImg[[#This Row],[Name]])</f>
        <v>#VALUE!</v>
      </c>
      <c r="BA149" s="2" t="s">
        <v>632</v>
      </c>
    </row>
    <row r="150" spans="52:53" ht="30" customHeight="1" x14ac:dyDescent="0.25">
      <c r="AZ150" s="2" t="e" vm="691">
        <f>_xlfn.IMAGE(_xlfn.CONCAT("https://raw.githubusercontent.com/ItsCryp7iC/Genshin-Image-Hosting/main/",AZ$1,"/",WeaponsImg[[#This Row],[Name]],".png"),WeaponsImg[[#This Row],[Name]])</f>
        <v>#VALUE!</v>
      </c>
      <c r="BA150" s="2" t="s">
        <v>633</v>
      </c>
    </row>
    <row r="151" spans="52:53" ht="30" customHeight="1" x14ac:dyDescent="0.25">
      <c r="AZ151" s="2" t="e" vm="692">
        <f>_xlfn.IMAGE(_xlfn.CONCAT("https://raw.githubusercontent.com/ItsCryp7iC/Genshin-Image-Hosting/main/",AZ$1,"/",WeaponsImg[[#This Row],[Name]],".png"),WeaponsImg[[#This Row],[Name]])</f>
        <v>#VALUE!</v>
      </c>
      <c r="BA151" s="2" t="s">
        <v>634</v>
      </c>
    </row>
    <row r="152" spans="52:53" ht="30" customHeight="1" x14ac:dyDescent="0.25">
      <c r="AZ152" s="2" t="e" vm="693">
        <f>_xlfn.IMAGE(_xlfn.CONCAT("https://raw.githubusercontent.com/ItsCryp7iC/Genshin-Image-Hosting/main/",AZ$1,"/",WeaponsImg[[#This Row],[Name]],".png"),WeaponsImg[[#This Row],[Name]])</f>
        <v>#VALUE!</v>
      </c>
      <c r="BA152" s="2" t="s">
        <v>635</v>
      </c>
    </row>
    <row r="153" spans="52:53" ht="30" customHeight="1" x14ac:dyDescent="0.25">
      <c r="AZ153" s="2" t="e" vm="694">
        <f>_xlfn.IMAGE(_xlfn.CONCAT("https://raw.githubusercontent.com/ItsCryp7iC/Genshin-Image-Hosting/main/",AZ$1,"/",WeaponsImg[[#This Row],[Name]],".png"),WeaponsImg[[#This Row],[Name]])</f>
        <v>#VALUE!</v>
      </c>
      <c r="BA153" s="2" t="s">
        <v>636</v>
      </c>
    </row>
    <row r="154" spans="52:53" ht="30" customHeight="1" x14ac:dyDescent="0.25">
      <c r="AZ154" s="2" t="e" vm="695">
        <f>_xlfn.IMAGE(_xlfn.CONCAT("https://raw.githubusercontent.com/ItsCryp7iC/Genshin-Image-Hosting/main/",AZ$1,"/",WeaponsImg[[#This Row],[Name]],".png"),WeaponsImg[[#This Row],[Name]])</f>
        <v>#VALUE!</v>
      </c>
      <c r="BA154" s="2" t="s">
        <v>637</v>
      </c>
    </row>
    <row r="155" spans="52:53" ht="30" customHeight="1" x14ac:dyDescent="0.25">
      <c r="AZ155" s="2" t="e" vm="696">
        <f>_xlfn.IMAGE(_xlfn.CONCAT("https://raw.githubusercontent.com/ItsCryp7iC/Genshin-Image-Hosting/main/",AZ$1,"/",WeaponsImg[[#This Row],[Name]],".png"),WeaponsImg[[#This Row],[Name]])</f>
        <v>#VALUE!</v>
      </c>
      <c r="BA155" s="2" t="s">
        <v>638</v>
      </c>
    </row>
    <row r="156" spans="52:53" ht="30" customHeight="1" x14ac:dyDescent="0.25">
      <c r="AZ156" s="2" t="e" vm="697">
        <f>_xlfn.IMAGE(_xlfn.CONCAT("https://raw.githubusercontent.com/ItsCryp7iC/Genshin-Image-Hosting/main/",AZ$1,"/",WeaponsImg[[#This Row],[Name]],".png"),WeaponsImg[[#This Row],[Name]])</f>
        <v>#VALUE!</v>
      </c>
      <c r="BA156" s="2" t="s">
        <v>639</v>
      </c>
    </row>
    <row r="157" spans="52:53" ht="30" customHeight="1" x14ac:dyDescent="0.25">
      <c r="AZ157" s="2" t="e" vm="698">
        <f>_xlfn.IMAGE(_xlfn.CONCAT("https://raw.githubusercontent.com/ItsCryp7iC/Genshin-Image-Hosting/main/",AZ$1,"/",WeaponsImg[[#This Row],[Name]],".png"),WeaponsImg[[#This Row],[Name]])</f>
        <v>#VALUE!</v>
      </c>
      <c r="BA157" s="2" t="s">
        <v>640</v>
      </c>
    </row>
    <row r="158" spans="52:53" ht="30" customHeight="1" x14ac:dyDescent="0.25">
      <c r="AZ158" s="2" t="e" vm="699">
        <f>_xlfn.IMAGE(_xlfn.CONCAT("https://raw.githubusercontent.com/ItsCryp7iC/Genshin-Image-Hosting/main/",AZ$1,"/",WeaponsImg[[#This Row],[Name]],".png"),WeaponsImg[[#This Row],[Name]])</f>
        <v>#VALUE!</v>
      </c>
      <c r="BA158" s="2" t="s">
        <v>641</v>
      </c>
    </row>
    <row r="159" spans="52:53" ht="30" customHeight="1" x14ac:dyDescent="0.25">
      <c r="AZ159" s="2" t="e" vm="700">
        <f>_xlfn.IMAGE(_xlfn.CONCAT("https://raw.githubusercontent.com/ItsCryp7iC/Genshin-Image-Hosting/main/",AZ$1,"/",WeaponsImg[[#This Row],[Name]],".png"),WeaponsImg[[#This Row],[Name]])</f>
        <v>#VALUE!</v>
      </c>
      <c r="BA159" s="2" t="s">
        <v>642</v>
      </c>
    </row>
    <row r="160" spans="52:53" ht="30" customHeight="1" x14ac:dyDescent="0.25">
      <c r="AZ160" s="2" t="e" vm="701">
        <f>_xlfn.IMAGE(_xlfn.CONCAT("https://raw.githubusercontent.com/ItsCryp7iC/Genshin-Image-Hosting/main/",AZ$1,"/",WeaponsImg[[#This Row],[Name]],".png"),WeaponsImg[[#This Row],[Name]])</f>
        <v>#VALUE!</v>
      </c>
      <c r="BA160" s="2" t="s">
        <v>643</v>
      </c>
    </row>
    <row r="161" spans="52:53" ht="30" customHeight="1" x14ac:dyDescent="0.25">
      <c r="AZ161" s="2" t="e" vm="702">
        <f>_xlfn.IMAGE(_xlfn.CONCAT("https://raw.githubusercontent.com/ItsCryp7iC/Genshin-Image-Hosting/main/",AZ$1,"/",WeaponsImg[[#This Row],[Name]],".png"),WeaponsImg[[#This Row],[Name]])</f>
        <v>#VALUE!</v>
      </c>
      <c r="BA161" s="2" t="s">
        <v>644</v>
      </c>
    </row>
    <row r="162" spans="52:53" ht="30" customHeight="1" x14ac:dyDescent="0.25">
      <c r="AZ162" s="2" t="e" vm="703">
        <f>_xlfn.IMAGE(_xlfn.CONCAT("https://raw.githubusercontent.com/ItsCryp7iC/Genshin-Image-Hosting/main/",AZ$1,"/",WeaponsImg[[#This Row],[Name]],".png"),WeaponsImg[[#This Row],[Name]])</f>
        <v>#VALUE!</v>
      </c>
      <c r="BA162" s="2" t="s">
        <v>645</v>
      </c>
    </row>
    <row r="163" spans="52:53" ht="30" customHeight="1" x14ac:dyDescent="0.25">
      <c r="AZ163" s="2" t="e" vm="704">
        <f>_xlfn.IMAGE(_xlfn.CONCAT("https://raw.githubusercontent.com/ItsCryp7iC/Genshin-Image-Hosting/main/",AZ$1,"/",WeaponsImg[[#This Row],[Name]],".png"),WeaponsImg[[#This Row],[Name]])</f>
        <v>#VALUE!</v>
      </c>
      <c r="BA163" s="2" t="s">
        <v>646</v>
      </c>
    </row>
    <row r="164" spans="52:53" ht="30" customHeight="1" x14ac:dyDescent="0.25">
      <c r="AZ164" s="2" t="e" vm="705">
        <f>_xlfn.IMAGE(_xlfn.CONCAT("https://raw.githubusercontent.com/ItsCryp7iC/Genshin-Image-Hosting/main/",AZ$1,"/",WeaponsImg[[#This Row],[Name]],".png"),WeaponsImg[[#This Row],[Name]])</f>
        <v>#VALUE!</v>
      </c>
      <c r="BA164" s="2" t="s">
        <v>647</v>
      </c>
    </row>
    <row r="165" spans="52:53" ht="30" customHeight="1" x14ac:dyDescent="0.25">
      <c r="AZ165" s="2" t="e" vm="706">
        <f>_xlfn.IMAGE(_xlfn.CONCAT("https://raw.githubusercontent.com/ItsCryp7iC/Genshin-Image-Hosting/main/",AZ$1,"/",WeaponsImg[[#This Row],[Name]],".png"),WeaponsImg[[#This Row],[Name]])</f>
        <v>#VALUE!</v>
      </c>
      <c r="BA165" s="2" t="s">
        <v>648</v>
      </c>
    </row>
    <row r="166" spans="52:53" ht="30" customHeight="1" x14ac:dyDescent="0.25">
      <c r="AZ166" s="2" t="e" vm="707">
        <f>_xlfn.IMAGE(_xlfn.CONCAT("https://raw.githubusercontent.com/ItsCryp7iC/Genshin-Image-Hosting/main/",AZ$1,"/",WeaponsImg[[#This Row],[Name]],".png"),WeaponsImg[[#This Row],[Name]])</f>
        <v>#VALUE!</v>
      </c>
      <c r="BA166" s="2" t="s">
        <v>649</v>
      </c>
    </row>
    <row r="167" spans="52:53" ht="30" customHeight="1" x14ac:dyDescent="0.25">
      <c r="AZ167" s="2" t="e" vm="708">
        <f>_xlfn.IMAGE(_xlfn.CONCAT("https://raw.githubusercontent.com/ItsCryp7iC/Genshin-Image-Hosting/main/",AZ$1,"/",WeaponsImg[[#This Row],[Name]],".png"),WeaponsImg[[#This Row],[Name]])</f>
        <v>#VALUE!</v>
      </c>
      <c r="BA167" s="2" t="s">
        <v>650</v>
      </c>
    </row>
    <row r="168" spans="52:53" ht="30" customHeight="1" x14ac:dyDescent="0.25">
      <c r="AZ168" s="2" t="e" vm="709">
        <f>_xlfn.IMAGE(_xlfn.CONCAT("https://raw.githubusercontent.com/ItsCryp7iC/Genshin-Image-Hosting/main/",AZ$1,"/",WeaponsImg[[#This Row],[Name]],".png"),WeaponsImg[[#This Row],[Name]])</f>
        <v>#VALUE!</v>
      </c>
      <c r="BA168" s="2" t="s">
        <v>651</v>
      </c>
    </row>
    <row r="169" spans="52:53" ht="30" customHeight="1" x14ac:dyDescent="0.25">
      <c r="AZ169" s="2" t="e" vm="710">
        <f>_xlfn.IMAGE(_xlfn.CONCAT("https://raw.githubusercontent.com/ItsCryp7iC/Genshin-Image-Hosting/main/",AZ$1,"/",WeaponsImg[[#This Row],[Name]],".png"),WeaponsImg[[#This Row],[Name]])</f>
        <v>#VALUE!</v>
      </c>
      <c r="BA169" s="2" t="s">
        <v>652</v>
      </c>
    </row>
    <row r="170" spans="52:53" ht="30" customHeight="1" x14ac:dyDescent="0.25">
      <c r="AZ170" s="2" t="e" vm="711">
        <f>_xlfn.IMAGE(_xlfn.CONCAT("https://raw.githubusercontent.com/ItsCryp7iC/Genshin-Image-Hosting/main/",AZ$1,"/",WeaponsImg[[#This Row],[Name]],".png"),WeaponsImg[[#This Row],[Name]])</f>
        <v>#VALUE!</v>
      </c>
      <c r="BA170" s="2" t="s">
        <v>653</v>
      </c>
    </row>
    <row r="171" spans="52:53" ht="30" customHeight="1" x14ac:dyDescent="0.25">
      <c r="AZ171" s="2" t="e" vm="712">
        <f>_xlfn.IMAGE(_xlfn.CONCAT("https://raw.githubusercontent.com/ItsCryp7iC/Genshin-Image-Hosting/main/",AZ$1,"/",WeaponsImg[[#This Row],[Name]],".png"),WeaponsImg[[#This Row],[Name]])</f>
        <v>#VALUE!</v>
      </c>
      <c r="BA171" s="2" t="s">
        <v>654</v>
      </c>
    </row>
    <row r="172" spans="52:53" ht="30" customHeight="1" x14ac:dyDescent="0.25">
      <c r="AZ172" s="2" t="e" vm="713">
        <f>_xlfn.IMAGE(_xlfn.CONCAT("https://raw.githubusercontent.com/ItsCryp7iC/Genshin-Image-Hosting/main/",AZ$1,"/",WeaponsImg[[#This Row],[Name]],".png"),WeaponsImg[[#This Row],[Name]])</f>
        <v>#VALUE!</v>
      </c>
      <c r="BA172" s="2" t="s">
        <v>655</v>
      </c>
    </row>
    <row r="173" spans="52:53" ht="30" customHeight="1" x14ac:dyDescent="0.25">
      <c r="AZ173" s="2" t="e" vm="714">
        <f>_xlfn.IMAGE(_xlfn.CONCAT("https://raw.githubusercontent.com/ItsCryp7iC/Genshin-Image-Hosting/main/",AZ$1,"/",WeaponsImg[[#This Row],[Name]],".png"),WeaponsImg[[#This Row],[Name]])</f>
        <v>#VALUE!</v>
      </c>
      <c r="BA173" s="2" t="s">
        <v>656</v>
      </c>
    </row>
    <row r="174" spans="52:53" ht="30" customHeight="1" x14ac:dyDescent="0.25">
      <c r="AZ174" s="2" t="e" vm="715">
        <f>_xlfn.IMAGE(_xlfn.CONCAT("https://raw.githubusercontent.com/ItsCryp7iC/Genshin-Image-Hosting/main/",AZ$1,"/",WeaponsImg[[#This Row],[Name]],".png"),WeaponsImg[[#This Row],[Name]])</f>
        <v>#VALUE!</v>
      </c>
      <c r="BA174" s="2" t="s">
        <v>657</v>
      </c>
    </row>
    <row r="175" spans="52:53" ht="30" customHeight="1" x14ac:dyDescent="0.25">
      <c r="AZ175" s="2" t="e" vm="716">
        <f>_xlfn.IMAGE(_xlfn.CONCAT("https://raw.githubusercontent.com/ItsCryp7iC/Genshin-Image-Hosting/main/",AZ$1,"/",WeaponsImg[[#This Row],[Name]],".png"),WeaponsImg[[#This Row],[Name]])</f>
        <v>#VALUE!</v>
      </c>
      <c r="BA175" s="2" t="s">
        <v>658</v>
      </c>
    </row>
    <row r="176" spans="52:53" ht="30" customHeight="1" x14ac:dyDescent="0.25">
      <c r="AZ176" s="2" t="e" vm="717">
        <f>_xlfn.IMAGE(_xlfn.CONCAT("https://raw.githubusercontent.com/ItsCryp7iC/Genshin-Image-Hosting/main/",AZ$1,"/",WeaponsImg[[#This Row],[Name]],".png"),WeaponsImg[[#This Row],[Name]])</f>
        <v>#VALUE!</v>
      </c>
      <c r="BA176" s="2" t="s">
        <v>659</v>
      </c>
    </row>
  </sheetData>
  <mergeCells count="15">
    <mergeCell ref="AT1:AU1"/>
    <mergeCell ref="AW1:AX1"/>
    <mergeCell ref="AZ1:BA1"/>
    <mergeCell ref="BC1:BD1"/>
    <mergeCell ref="D1:E1"/>
    <mergeCell ref="AL1:AM1"/>
    <mergeCell ref="AQ1:AR1"/>
    <mergeCell ref="AI1:AJ1"/>
    <mergeCell ref="A1:B1"/>
    <mergeCell ref="P1:R1"/>
    <mergeCell ref="T1:V1"/>
    <mergeCell ref="AF1:AG1"/>
    <mergeCell ref="AC1:AD1"/>
    <mergeCell ref="AA1:AB1"/>
    <mergeCell ref="Y1:Z1"/>
  </mergeCells>
  <phoneticPr fontId="3" type="noConversion"/>
  <pageMargins left="0.7" right="0.7" top="0.75" bottom="0.75" header="0.3" footer="0.3"/>
  <legacyDrawing r:id="rId1"/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F9188-F84E-401F-8DF4-C917DB25CD6A}">
  <sheetPr codeName="Sheet10">
    <tabColor rgb="FF66FF33"/>
  </sheetPr>
  <dimension ref="A1:AA70"/>
  <sheetViews>
    <sheetView showGridLines="0" workbookViewId="0">
      <selection activeCell="K8" sqref="K8"/>
    </sheetView>
  </sheetViews>
  <sheetFormatPr defaultColWidth="9.140625" defaultRowHeight="15.75" x14ac:dyDescent="0.25"/>
  <cols>
    <col min="1" max="2" width="11.42578125" style="36" customWidth="1"/>
    <col min="3" max="3" width="0.7109375" style="36" customWidth="1"/>
    <col min="4" max="5" width="11.42578125" style="36" customWidth="1"/>
    <col min="6" max="6" width="0.7109375" style="36" customWidth="1"/>
    <col min="7" max="8" width="11.42578125" style="36" customWidth="1"/>
    <col min="9" max="9" width="0.7109375" style="36" customWidth="1"/>
    <col min="10" max="13" width="11.42578125" style="36" customWidth="1"/>
    <col min="14" max="14" width="11.42578125" style="45" customWidth="1"/>
    <col min="15" max="15" width="11.42578125" style="36" customWidth="1"/>
    <col min="16" max="16" width="0.7109375" style="36" customWidth="1"/>
    <col min="17" max="18" width="11.42578125" style="36" customWidth="1"/>
    <col min="19" max="19" width="0.7109375" style="36" customWidth="1"/>
    <col min="20" max="21" width="11.42578125" style="36" customWidth="1"/>
    <col min="22" max="22" width="0.7109375" style="36" customWidth="1"/>
    <col min="23" max="24" width="11.42578125" style="36" customWidth="1"/>
    <col min="25" max="25" width="0.7109375" style="36" customWidth="1"/>
    <col min="26" max="26" width="11.42578125" style="36" customWidth="1"/>
    <col min="27" max="27" width="19" style="36" customWidth="1"/>
    <col min="28" max="16384" width="9.140625" style="36"/>
  </cols>
  <sheetData>
    <row r="1" spans="1:27" ht="35.25" x14ac:dyDescent="0.25">
      <c r="A1" s="192" t="s">
        <v>660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</row>
    <row r="2" spans="1:27" s="37" customFormat="1" ht="3.75" customHeight="1" x14ac:dyDescent="0.3"/>
    <row r="3" spans="1:27" x14ac:dyDescent="0.25">
      <c r="A3" s="193" t="s">
        <v>66</v>
      </c>
      <c r="B3" s="193"/>
      <c r="C3" s="38"/>
      <c r="D3" s="193" t="s">
        <v>0</v>
      </c>
      <c r="E3" s="193"/>
      <c r="F3" s="38"/>
      <c r="G3" s="193" t="s">
        <v>4</v>
      </c>
      <c r="H3" s="193"/>
      <c r="I3" s="38"/>
      <c r="J3" s="193" t="s">
        <v>67</v>
      </c>
      <c r="K3" s="193"/>
      <c r="L3" s="193"/>
      <c r="M3" s="193"/>
      <c r="N3" s="193"/>
      <c r="O3" s="193"/>
      <c r="P3" s="38"/>
      <c r="Q3" s="193" t="s">
        <v>68</v>
      </c>
      <c r="R3" s="193"/>
      <c r="S3" s="38"/>
      <c r="T3" s="193" t="s">
        <v>684</v>
      </c>
      <c r="U3" s="193"/>
      <c r="V3" s="38"/>
      <c r="W3" s="193" t="s">
        <v>69</v>
      </c>
      <c r="X3" s="193"/>
      <c r="Y3" s="38"/>
      <c r="Z3" s="193" t="s">
        <v>70</v>
      </c>
      <c r="AA3" s="193"/>
    </row>
    <row r="4" spans="1:27" ht="15" customHeight="1" x14ac:dyDescent="0.25">
      <c r="A4" s="39" t="s">
        <v>74</v>
      </c>
      <c r="B4" s="39" t="s">
        <v>661</v>
      </c>
      <c r="C4" s="39"/>
      <c r="D4" s="39" t="s">
        <v>74</v>
      </c>
      <c r="E4" s="39" t="s">
        <v>661</v>
      </c>
      <c r="F4" s="39"/>
      <c r="G4" s="39" t="s">
        <v>74</v>
      </c>
      <c r="H4" s="39" t="s">
        <v>661</v>
      </c>
      <c r="I4" s="39"/>
      <c r="J4" s="39" t="s">
        <v>817</v>
      </c>
      <c r="K4" s="39" t="s">
        <v>819</v>
      </c>
      <c r="L4" s="39" t="s">
        <v>820</v>
      </c>
      <c r="M4" s="39" t="s">
        <v>821</v>
      </c>
      <c r="N4" s="40" t="s">
        <v>818</v>
      </c>
      <c r="O4" s="39" t="s">
        <v>822</v>
      </c>
      <c r="P4" s="39"/>
      <c r="Q4" s="39" t="s">
        <v>74</v>
      </c>
      <c r="R4" s="39" t="s">
        <v>661</v>
      </c>
      <c r="S4" s="39"/>
      <c r="T4" s="39" t="s">
        <v>74</v>
      </c>
      <c r="U4" s="39" t="s">
        <v>661</v>
      </c>
      <c r="V4" s="39"/>
      <c r="W4" s="39" t="s">
        <v>74</v>
      </c>
      <c r="X4" s="39" t="s">
        <v>661</v>
      </c>
      <c r="Y4" s="39"/>
      <c r="Z4" s="39" t="s">
        <v>74</v>
      </c>
      <c r="AA4" s="39" t="s">
        <v>661</v>
      </c>
    </row>
    <row r="5" spans="1:27" ht="30" customHeight="1" x14ac:dyDescent="0.25">
      <c r="A5" s="36" t="e" vm="718">
        <f>ImgDatabase!A3</f>
        <v>#VALUE!</v>
      </c>
      <c r="B5" s="41">
        <v>3183</v>
      </c>
      <c r="D5" s="36" t="e" vm="132">
        <f>ImgDatabase!P3</f>
        <v>#VALUE!</v>
      </c>
      <c r="E5" s="41">
        <v>55</v>
      </c>
      <c r="G5" s="36" t="e" vm="52">
        <f>ImgDatabase!T3</f>
        <v>#VALUE!</v>
      </c>
      <c r="H5" s="41">
        <v>26</v>
      </c>
      <c r="J5" s="36" t="e" vm="462">
        <f>ImgDatabase!Z3</f>
        <v>#VALUE!</v>
      </c>
      <c r="K5" s="42">
        <v>255</v>
      </c>
      <c r="L5" s="43" t="e" vm="719">
        <f>ImgDatabase!AB3</f>
        <v>#VALUE!</v>
      </c>
      <c r="M5" s="42">
        <v>133</v>
      </c>
      <c r="N5" s="43" t="e" vm="720">
        <f>ImgDatabase!AD3</f>
        <v>#VALUE!</v>
      </c>
      <c r="O5" s="41">
        <v>235</v>
      </c>
      <c r="Q5" s="36" t="e" vm="351">
        <f>ImgDatabase!AF3</f>
        <v>#VALUE!</v>
      </c>
      <c r="R5" s="41">
        <v>36</v>
      </c>
      <c r="T5" s="36" t="e" vm="536">
        <f>ImgDatabase!AI3</f>
        <v>#VALUE!</v>
      </c>
      <c r="U5" s="41">
        <v>68</v>
      </c>
      <c r="W5" s="36" t="e" vm="293">
        <f>ImgDatabase!AL3</f>
        <v>#VALUE!</v>
      </c>
      <c r="X5" s="41">
        <v>0</v>
      </c>
      <c r="Z5" s="36" t="e" vm="721">
        <f>ImgDatabase!AQ3</f>
        <v>#VALUE!</v>
      </c>
      <c r="AA5" s="44">
        <v>47607577</v>
      </c>
    </row>
    <row r="6" spans="1:27" ht="30" customHeight="1" x14ac:dyDescent="0.25">
      <c r="A6" s="36" t="e" vm="722">
        <f>ImgDatabase!A4</f>
        <v>#VALUE!</v>
      </c>
      <c r="B6" s="41">
        <v>10602</v>
      </c>
      <c r="D6" s="36" t="e" vm="210">
        <f>ImgDatabase!P4</f>
        <v>#VALUE!</v>
      </c>
      <c r="E6" s="41">
        <v>125</v>
      </c>
      <c r="G6" s="36" t="e" vm="531">
        <f>ImgDatabase!T4</f>
        <v>#VALUE!</v>
      </c>
      <c r="H6" s="41">
        <v>19</v>
      </c>
      <c r="J6" s="36" t="e" vm="133">
        <f>ImgDatabase!Z4</f>
        <v>#VALUE!</v>
      </c>
      <c r="K6" s="42">
        <v>104</v>
      </c>
      <c r="L6" s="43" t="e" vm="723">
        <f>ImgDatabase!AB4</f>
        <v>#VALUE!</v>
      </c>
      <c r="M6" s="42">
        <v>481</v>
      </c>
      <c r="N6" s="43" t="e" vm="724">
        <f>ImgDatabase!AD4</f>
        <v>#VALUE!</v>
      </c>
      <c r="O6" s="41">
        <v>2024</v>
      </c>
      <c r="Q6" s="36" t="e" vm="725">
        <f>ImgDatabase!AF4</f>
        <v>#VALUE!</v>
      </c>
      <c r="R6" s="41">
        <v>81</v>
      </c>
      <c r="T6" s="36" t="e" vm="532">
        <f>ImgDatabase!AI4</f>
        <v>#VALUE!</v>
      </c>
      <c r="U6" s="41">
        <v>507</v>
      </c>
      <c r="W6" s="36" t="e" vm="726">
        <f>ImgDatabase!AL4</f>
        <v>#VALUE!</v>
      </c>
      <c r="X6" s="41">
        <v>0</v>
      </c>
      <c r="Z6" s="36" t="e" vm="727">
        <f>ImgDatabase!AQ4</f>
        <v>#VALUE!</v>
      </c>
      <c r="AA6" s="41">
        <v>14</v>
      </c>
    </row>
    <row r="7" spans="1:27" ht="30" customHeight="1" x14ac:dyDescent="0.25">
      <c r="A7" s="36" t="e" vm="728">
        <f>ImgDatabase!A5</f>
        <v>#VALUE!</v>
      </c>
      <c r="B7" s="41">
        <v>1499</v>
      </c>
      <c r="D7" s="36" t="e" vm="166">
        <f>ImgDatabase!P5</f>
        <v>#VALUE!</v>
      </c>
      <c r="E7" s="41">
        <v>204</v>
      </c>
      <c r="G7" s="36" t="e" vm="292">
        <f>ImgDatabase!T5</f>
        <v>#VALUE!</v>
      </c>
      <c r="H7" s="41">
        <v>30</v>
      </c>
      <c r="J7" s="36" t="e" vm="10">
        <f>ImgDatabase!Z5</f>
        <v>#VALUE!</v>
      </c>
      <c r="K7" s="42">
        <v>8</v>
      </c>
      <c r="L7" s="43" t="e" vm="729">
        <f>ImgDatabase!AB5</f>
        <v>#VALUE!</v>
      </c>
      <c r="M7" s="42">
        <v>55</v>
      </c>
      <c r="N7" s="43" t="e" vm="730">
        <f>ImgDatabase!AD5</f>
        <v>#VALUE!</v>
      </c>
      <c r="O7" s="41">
        <v>2035</v>
      </c>
      <c r="Q7" s="36" t="e" vm="731">
        <f>ImgDatabase!AF5</f>
        <v>#VALUE!</v>
      </c>
      <c r="R7" s="41">
        <v>50</v>
      </c>
      <c r="T7" s="36" t="e" vm="11">
        <f>ImgDatabase!AI5</f>
        <v>#VALUE!</v>
      </c>
      <c r="U7" s="41">
        <v>16</v>
      </c>
      <c r="W7" s="36" t="e" vm="732">
        <f>ImgDatabase!AL5</f>
        <v>#VALUE!</v>
      </c>
      <c r="X7" s="41">
        <v>0</v>
      </c>
      <c r="Z7" s="36" t="e" vm="733">
        <f>ImgDatabase!AQ5</f>
        <v>#VALUE!</v>
      </c>
      <c r="AA7" s="41">
        <v>50</v>
      </c>
    </row>
    <row r="8" spans="1:27" ht="30" customHeight="1" x14ac:dyDescent="0.25">
      <c r="A8" s="36" t="e" vm="734">
        <f>ImgDatabase!A6</f>
        <v>#VALUE!</v>
      </c>
      <c r="B8" s="41">
        <v>467</v>
      </c>
      <c r="D8" s="36" t="e" vm="51">
        <f>ImgDatabase!P6</f>
        <v>#VALUE!</v>
      </c>
      <c r="E8" s="41">
        <v>135</v>
      </c>
      <c r="G8" s="36" t="e" vm="282">
        <f>ImgDatabase!T6</f>
        <v>#VALUE!</v>
      </c>
      <c r="H8" s="41">
        <v>10</v>
      </c>
      <c r="J8" s="36" t="e" vm="302">
        <f>ImgDatabase!Z6</f>
        <v>#VALUE!</v>
      </c>
      <c r="K8" s="42">
        <v>29</v>
      </c>
      <c r="L8" s="43" t="e" vm="735">
        <f>ImgDatabase!AB6</f>
        <v>#VALUE!</v>
      </c>
      <c r="M8" s="42">
        <v>175</v>
      </c>
      <c r="N8" s="43" t="e" vm="736">
        <f>ImgDatabase!AD6</f>
        <v>#VALUE!</v>
      </c>
      <c r="O8" s="41">
        <v>1564</v>
      </c>
      <c r="Q8" s="36" t="e" vm="53">
        <f>ImgDatabase!AF6</f>
        <v>#VALUE!</v>
      </c>
      <c r="R8" s="41">
        <v>34</v>
      </c>
      <c r="T8" s="36" t="e" vm="55">
        <f>ImgDatabase!AI6</f>
        <v>#VALUE!</v>
      </c>
      <c r="U8" s="41">
        <v>97</v>
      </c>
      <c r="W8" s="36" t="e" vm="737">
        <f>ImgDatabase!AL6</f>
        <v>#VALUE!</v>
      </c>
      <c r="X8" s="41">
        <v>0</v>
      </c>
    </row>
    <row r="9" spans="1:27" ht="30" customHeight="1" x14ac:dyDescent="0.25">
      <c r="D9" s="36" t="e" vm="337">
        <f>ImgDatabase!P7</f>
        <v>#VALUE!</v>
      </c>
      <c r="E9" s="41">
        <v>1</v>
      </c>
      <c r="G9" s="36" t="e" vm="211">
        <f>ImgDatabase!T7</f>
        <v>#VALUE!</v>
      </c>
      <c r="H9" s="41">
        <v>15</v>
      </c>
      <c r="J9" s="36" t="e" vm="435">
        <f>ImgDatabase!Z7</f>
        <v>#VALUE!</v>
      </c>
      <c r="K9" s="42">
        <v>234</v>
      </c>
      <c r="L9" s="43" t="e" vm="738">
        <f>ImgDatabase!AB7</f>
        <v>#VALUE!</v>
      </c>
      <c r="M9" s="42">
        <v>273</v>
      </c>
      <c r="N9" s="43" t="e" vm="739">
        <f>ImgDatabase!AD7</f>
        <v>#VALUE!</v>
      </c>
      <c r="O9" s="41">
        <v>1869</v>
      </c>
      <c r="Q9" s="36" t="e" vm="740">
        <f>ImgDatabase!AF7</f>
        <v>#VALUE!</v>
      </c>
      <c r="R9" s="41">
        <v>59</v>
      </c>
      <c r="T9" s="36" t="e" vm="556">
        <f>ImgDatabase!AI7</f>
        <v>#VALUE!</v>
      </c>
      <c r="U9" s="41">
        <v>7</v>
      </c>
      <c r="W9" s="36" t="e" vm="56">
        <f>ImgDatabase!AL7</f>
        <v>#VALUE!</v>
      </c>
      <c r="X9" s="41">
        <v>18</v>
      </c>
    </row>
    <row r="10" spans="1:27" ht="30" customHeight="1" x14ac:dyDescent="0.25">
      <c r="D10" s="36" t="e" vm="7">
        <f>ImgDatabase!P8</f>
        <v>#VALUE!</v>
      </c>
      <c r="E10" s="41">
        <v>0</v>
      </c>
      <c r="G10" s="36" t="e" vm="167">
        <f>ImgDatabase!T8</f>
        <v>#VALUE!</v>
      </c>
      <c r="H10" s="41">
        <v>1</v>
      </c>
      <c r="J10" s="36" t="e" vm="54">
        <f>ImgDatabase!Z8</f>
        <v>#VALUE!</v>
      </c>
      <c r="K10" s="42">
        <v>76</v>
      </c>
      <c r="L10" s="43" t="e" vm="741">
        <f>ImgDatabase!AB8</f>
        <v>#VALUE!</v>
      </c>
      <c r="M10" s="42">
        <v>359</v>
      </c>
      <c r="N10" s="43" t="e" vm="742">
        <f>ImgDatabase!AD8</f>
        <v>#VALUE!</v>
      </c>
      <c r="O10" s="41">
        <v>2846</v>
      </c>
      <c r="Q10" s="36" t="e" vm="743">
        <f>ImgDatabase!AF8</f>
        <v>#VALUE!</v>
      </c>
      <c r="R10" s="41">
        <v>44</v>
      </c>
      <c r="T10" s="36" t="e" vm="361">
        <f>ImgDatabase!AI8</f>
        <v>#VALUE!</v>
      </c>
      <c r="U10" s="41">
        <v>50</v>
      </c>
      <c r="W10" s="36" t="e" vm="744">
        <f>ImgDatabase!AL8</f>
        <v>#VALUE!</v>
      </c>
      <c r="X10" s="41">
        <v>41</v>
      </c>
    </row>
    <row r="11" spans="1:27" ht="30" customHeight="1" x14ac:dyDescent="0.25">
      <c r="D11" s="36" t="e" vm="598">
        <f>ImgDatabase!P9</f>
        <v>#VALUE!</v>
      </c>
      <c r="E11" s="41">
        <v>21</v>
      </c>
      <c r="G11" s="36" t="e" vm="8">
        <f>ImgDatabase!T9</f>
        <v>#VALUE!</v>
      </c>
      <c r="H11" s="41">
        <v>13</v>
      </c>
      <c r="J11" s="36" t="e" vm="115">
        <f>ImgDatabase!Z9</f>
        <v>#VALUE!</v>
      </c>
      <c r="K11" s="42">
        <v>37</v>
      </c>
      <c r="L11" s="43" t="e" vm="745">
        <f>ImgDatabase!AB9</f>
        <v>#VALUE!</v>
      </c>
      <c r="M11" s="42">
        <v>103</v>
      </c>
      <c r="N11" s="43" t="e" vm="746">
        <f>ImgDatabase!AD9</f>
        <v>#VALUE!</v>
      </c>
      <c r="O11" s="41">
        <v>630</v>
      </c>
      <c r="Q11" s="36" t="e" vm="9">
        <f>ImgDatabase!AF9</f>
        <v>#VALUE!</v>
      </c>
      <c r="R11" s="41">
        <v>10</v>
      </c>
      <c r="T11" s="36" t="e" vm="168">
        <f>ImgDatabase!AI9</f>
        <v>#VALUE!</v>
      </c>
      <c r="U11" s="41">
        <v>190</v>
      </c>
      <c r="W11" s="36" t="e" vm="747">
        <f>ImgDatabase!AL9</f>
        <v>#VALUE!</v>
      </c>
      <c r="X11" s="41">
        <v>141</v>
      </c>
    </row>
    <row r="12" spans="1:27" ht="30" customHeight="1" x14ac:dyDescent="0.25">
      <c r="D12" s="36" t="e" vm="349">
        <f>ImgDatabase!P10</f>
        <v>#VALUE!</v>
      </c>
      <c r="E12" s="41">
        <v>46</v>
      </c>
      <c r="G12" s="36" t="e" vm="380">
        <f>ImgDatabase!T10</f>
        <v>#VALUE!</v>
      </c>
      <c r="H12" s="41">
        <v>18</v>
      </c>
      <c r="J12" s="36" t="e" vm="184">
        <f>ImgDatabase!Z10</f>
        <v>#VALUE!</v>
      </c>
      <c r="K12" s="42">
        <v>14</v>
      </c>
      <c r="L12" s="43" t="e" vm="748">
        <f>ImgDatabase!AB10</f>
        <v>#VALUE!</v>
      </c>
      <c r="M12" s="42">
        <v>23</v>
      </c>
      <c r="N12" s="43" t="e" vm="749">
        <f>ImgDatabase!AD10</f>
        <v>#VALUE!</v>
      </c>
      <c r="O12" s="41">
        <v>18</v>
      </c>
      <c r="Q12" s="36" t="e" vm="750">
        <f>ImgDatabase!AF10</f>
        <v>#VALUE!</v>
      </c>
      <c r="R12" s="41">
        <v>61</v>
      </c>
      <c r="T12" s="36" t="e" vm="134">
        <f>ImgDatabase!AI10</f>
        <v>#VALUE!</v>
      </c>
      <c r="U12" s="41">
        <v>24</v>
      </c>
      <c r="W12" s="36" t="e" vm="751">
        <f>ImgDatabase!AL10</f>
        <v>#VALUE!</v>
      </c>
      <c r="X12" s="41">
        <v>191</v>
      </c>
    </row>
    <row r="13" spans="1:27" ht="30" customHeight="1" x14ac:dyDescent="0.25">
      <c r="D13" s="36" t="e" vm="149">
        <f>ImgDatabase!P11</f>
        <v>#VALUE!</v>
      </c>
      <c r="E13" s="41">
        <v>46</v>
      </c>
      <c r="G13" s="36" t="e" vm="408">
        <f>ImgDatabase!T11</f>
        <v>#VALUE!</v>
      </c>
      <c r="H13" s="41">
        <v>31</v>
      </c>
      <c r="J13" s="36" t="e" vm="75">
        <f>ImgDatabase!Z11</f>
        <v>#VALUE!</v>
      </c>
      <c r="K13" s="42">
        <v>1</v>
      </c>
      <c r="L13" s="43" t="e" vm="752">
        <f>ImgDatabase!AB11</f>
        <v>#VALUE!</v>
      </c>
      <c r="M13" s="42">
        <v>4</v>
      </c>
      <c r="N13" s="43" t="e" vm="753">
        <f>ImgDatabase!AD11</f>
        <v>#VALUE!</v>
      </c>
      <c r="O13" s="41">
        <v>45</v>
      </c>
      <c r="Q13" s="36" t="e" vm="754">
        <f>ImgDatabase!AF11</f>
        <v>#VALUE!</v>
      </c>
      <c r="R13" s="41">
        <v>49</v>
      </c>
      <c r="T13" s="36" t="e" vm="621">
        <f>ImgDatabase!AI11</f>
        <v>#VALUE!</v>
      </c>
      <c r="U13" s="41">
        <v>171</v>
      </c>
      <c r="W13" s="36" t="e" vm="117">
        <f>ImgDatabase!AL11</f>
        <v>#VALUE!</v>
      </c>
      <c r="X13" s="41">
        <v>6</v>
      </c>
    </row>
    <row r="14" spans="1:27" ht="30" customHeight="1" x14ac:dyDescent="0.25">
      <c r="D14" s="36" t="e" vm="181">
        <f>ImgDatabase!P12</f>
        <v>#VALUE!</v>
      </c>
      <c r="E14" s="41">
        <v>48</v>
      </c>
      <c r="G14" s="36" t="e" vm="311">
        <f>ImgDatabase!T12</f>
        <v>#VALUE!</v>
      </c>
      <c r="H14" s="41">
        <v>15</v>
      </c>
      <c r="J14" s="36" t="e" vm="272">
        <f>ImgDatabase!Z12</f>
        <v>#VALUE!</v>
      </c>
      <c r="K14" s="42">
        <v>13</v>
      </c>
      <c r="L14" s="43" t="e" vm="755">
        <f>ImgDatabase!AB12</f>
        <v>#VALUE!</v>
      </c>
      <c r="M14" s="42">
        <v>238</v>
      </c>
      <c r="N14" s="43" t="e" vm="756">
        <f>ImgDatabase!AD12</f>
        <v>#VALUE!</v>
      </c>
      <c r="O14" s="41">
        <v>1177</v>
      </c>
      <c r="Q14" s="36" t="e" vm="212">
        <f>ImgDatabase!AF12</f>
        <v>#VALUE!</v>
      </c>
      <c r="R14" s="41">
        <v>17</v>
      </c>
      <c r="T14" s="36" t="e" vm="487">
        <f>ImgDatabase!AI12</f>
        <v>#VALUE!</v>
      </c>
      <c r="U14" s="41">
        <v>199</v>
      </c>
      <c r="W14" s="36" t="e" vm="757">
        <f>ImgDatabase!AL12</f>
        <v>#VALUE!</v>
      </c>
      <c r="X14" s="41">
        <v>12</v>
      </c>
    </row>
    <row r="15" spans="1:27" ht="30" customHeight="1" x14ac:dyDescent="0.25">
      <c r="D15" s="36" t="e" vm="473">
        <f>ImgDatabase!P13</f>
        <v>#VALUE!</v>
      </c>
      <c r="E15" s="41">
        <v>46</v>
      </c>
      <c r="G15" s="36" t="e" vm="182">
        <f>ImgDatabase!T13</f>
        <v>#VALUE!</v>
      </c>
      <c r="H15" s="41">
        <v>27</v>
      </c>
      <c r="J15" s="36" t="e" vm="32">
        <f>ImgDatabase!Z13</f>
        <v>#VALUE!</v>
      </c>
      <c r="K15" s="42">
        <v>210</v>
      </c>
      <c r="L15" s="43" t="e" vm="758">
        <f>ImgDatabase!AB13</f>
        <v>#VALUE!</v>
      </c>
      <c r="M15" s="42">
        <v>213</v>
      </c>
      <c r="N15" s="43" t="e" vm="759">
        <f>ImgDatabase!AD13</f>
        <v>#VALUE!</v>
      </c>
      <c r="O15" s="41">
        <v>959</v>
      </c>
      <c r="Q15" s="36" t="e" vm="760">
        <f>ImgDatabase!AF13</f>
        <v>#VALUE!</v>
      </c>
      <c r="R15" s="41">
        <v>126</v>
      </c>
      <c r="T15" s="36" t="e" vm="339">
        <f>ImgDatabase!AI13</f>
        <v>#VALUE!</v>
      </c>
      <c r="U15" s="41">
        <v>516</v>
      </c>
      <c r="W15" s="36" t="e" vm="761">
        <f>ImgDatabase!AL13</f>
        <v>#VALUE!</v>
      </c>
      <c r="X15" s="41">
        <v>88</v>
      </c>
    </row>
    <row r="16" spans="1:27" ht="30" customHeight="1" x14ac:dyDescent="0.25">
      <c r="D16" s="36" t="e" vm="197">
        <f>ImgDatabase!P14</f>
        <v>#VALUE!</v>
      </c>
      <c r="E16" s="41">
        <v>2</v>
      </c>
      <c r="G16" s="36" t="e" vm="150">
        <f>ImgDatabase!T14</f>
        <v>#VALUE!</v>
      </c>
      <c r="H16" s="41">
        <v>20</v>
      </c>
      <c r="J16" s="36" t="e" vm="95">
        <f>ImgDatabase!Z14</f>
        <v>#VALUE!</v>
      </c>
      <c r="K16" s="42">
        <v>39</v>
      </c>
      <c r="L16" s="43" t="e" vm="762">
        <f>ImgDatabase!AB14</f>
        <v>#VALUE!</v>
      </c>
      <c r="M16" s="42">
        <v>93</v>
      </c>
      <c r="N16" s="43" t="e" vm="763">
        <f>ImgDatabase!AD14</f>
        <v>#VALUE!</v>
      </c>
      <c r="O16" s="41">
        <v>466</v>
      </c>
      <c r="Q16" s="36" t="e" vm="764">
        <f>ImgDatabase!AF14</f>
        <v>#VALUE!</v>
      </c>
      <c r="R16" s="41">
        <v>121</v>
      </c>
      <c r="T16" s="36" t="e" vm="576">
        <f>ImgDatabase!AI14</f>
        <v>#VALUE!</v>
      </c>
      <c r="U16" s="41">
        <v>216</v>
      </c>
      <c r="W16" s="36" t="e" vm="765">
        <f>ImgDatabase!AL14</f>
        <v>#VALUE!</v>
      </c>
      <c r="X16" s="41">
        <v>113</v>
      </c>
    </row>
    <row r="17" spans="4:24" ht="30" customHeight="1" x14ac:dyDescent="0.25">
      <c r="D17" s="36" t="e" vm="424">
        <f>ImgDatabase!P15</f>
        <v>#VALUE!</v>
      </c>
      <c r="E17" s="41">
        <v>47</v>
      </c>
      <c r="G17" s="36" t="e" vm="350">
        <f>ImgDatabase!T15</f>
        <v>#VALUE!</v>
      </c>
      <c r="H17" s="41">
        <v>17</v>
      </c>
      <c r="J17" s="36" t="e" vm="261">
        <f>ImgDatabase!Z15</f>
        <v>#VALUE!</v>
      </c>
      <c r="K17" s="42">
        <v>136</v>
      </c>
      <c r="L17" s="43" t="e" vm="766">
        <f>ImgDatabase!AB15</f>
        <v>#VALUE!</v>
      </c>
      <c r="M17" s="42">
        <v>238</v>
      </c>
      <c r="N17" s="43" t="e" vm="767">
        <f>ImgDatabase!AD15</f>
        <v>#VALUE!</v>
      </c>
      <c r="O17" s="41">
        <v>601</v>
      </c>
      <c r="Q17" s="36" t="e" vm="151">
        <f>ImgDatabase!AF15</f>
        <v>#VALUE!</v>
      </c>
      <c r="R17" s="41">
        <v>11</v>
      </c>
      <c r="T17" s="36" t="e" vm="409">
        <f>ImgDatabase!AI15</f>
        <v>#VALUE!</v>
      </c>
      <c r="U17" s="41">
        <v>113</v>
      </c>
      <c r="W17" s="36" t="e" vm="34">
        <f>ImgDatabase!AL15</f>
        <v>#VALUE!</v>
      </c>
      <c r="X17" s="41">
        <v>3</v>
      </c>
    </row>
    <row r="18" spans="4:24" ht="30" customHeight="1" x14ac:dyDescent="0.25">
      <c r="D18" s="36" t="e" vm="480">
        <f>ImgDatabase!P16</f>
        <v>#VALUE!</v>
      </c>
      <c r="E18" s="41">
        <v>47</v>
      </c>
      <c r="G18" s="36" t="e" vm="579">
        <f>ImgDatabase!T16</f>
        <v>#VALUE!</v>
      </c>
      <c r="H18" s="41">
        <v>4</v>
      </c>
      <c r="Q18" s="36" t="e" vm="768">
        <f>ImgDatabase!AF16</f>
        <v>#VALUE!</v>
      </c>
      <c r="R18" s="41">
        <v>134</v>
      </c>
      <c r="T18" s="36" t="e" vm="450">
        <f>ImgDatabase!AI16</f>
        <v>#VALUE!</v>
      </c>
      <c r="U18" s="41">
        <v>34</v>
      </c>
      <c r="W18" s="36" t="e" vm="769">
        <f>ImgDatabase!AL16</f>
        <v>#VALUE!</v>
      </c>
      <c r="X18" s="41">
        <v>43</v>
      </c>
    </row>
    <row r="19" spans="4:24" ht="30" customHeight="1" x14ac:dyDescent="0.25">
      <c r="D19" s="36" t="e" vm="595">
        <f>ImgDatabase!P17</f>
        <v>#VALUE!</v>
      </c>
      <c r="E19" s="41">
        <v>2</v>
      </c>
      <c r="G19" s="36" t="e" vm="425">
        <f>ImgDatabase!T17</f>
        <v>#VALUE!</v>
      </c>
      <c r="H19" s="41">
        <v>23</v>
      </c>
      <c r="Q19" s="36" t="e" vm="770">
        <f>ImgDatabase!AF17</f>
        <v>#VALUE!</v>
      </c>
      <c r="R19" s="41">
        <v>177</v>
      </c>
      <c r="T19" s="36" t="e" vm="283">
        <f>ImgDatabase!AI17</f>
        <v>#VALUE!</v>
      </c>
      <c r="U19" s="41">
        <v>45</v>
      </c>
      <c r="W19" s="36" t="e" vm="771">
        <f>ImgDatabase!AL17</f>
        <v>#VALUE!</v>
      </c>
      <c r="X19" s="41">
        <v>138</v>
      </c>
    </row>
    <row r="20" spans="4:24" ht="30" customHeight="1" x14ac:dyDescent="0.25">
      <c r="D20" s="36" t="e" vm="239">
        <f>ImgDatabase!P18</f>
        <v>#VALUE!</v>
      </c>
      <c r="E20" s="41">
        <v>41</v>
      </c>
      <c r="G20" s="36" t="e" vm="198">
        <f>ImgDatabase!T18</f>
        <v>#VALUE!</v>
      </c>
      <c r="H20" s="41">
        <v>13</v>
      </c>
      <c r="Q20" s="36" t="e" vm="338">
        <f>ImgDatabase!AF18</f>
        <v>#VALUE!</v>
      </c>
      <c r="R20" s="41">
        <v>11</v>
      </c>
      <c r="T20" s="36" t="e" vm="213">
        <f>ImgDatabase!AI18</f>
        <v>#VALUE!</v>
      </c>
      <c r="U20" s="41">
        <v>49</v>
      </c>
      <c r="W20" s="36" t="e" vm="772">
        <f>ImgDatabase!AL18</f>
        <v>#VALUE!</v>
      </c>
      <c r="X20" s="41">
        <v>112</v>
      </c>
    </row>
    <row r="21" spans="4:24" ht="30" customHeight="1" x14ac:dyDescent="0.25">
      <c r="D21" s="36" t="e" vm="370">
        <f>ImgDatabase!P19</f>
        <v>#VALUE!</v>
      </c>
      <c r="E21" s="41">
        <v>93</v>
      </c>
      <c r="G21" s="36" t="e" vm="240">
        <f>ImgDatabase!T19</f>
        <v>#VALUE!</v>
      </c>
      <c r="H21" s="41">
        <v>9</v>
      </c>
      <c r="Q21" s="36" t="e" vm="773">
        <f>ImgDatabase!AF19</f>
        <v>#VALUE!</v>
      </c>
      <c r="R21" s="41">
        <v>91</v>
      </c>
      <c r="T21" s="36" t="e" vm="592">
        <f>ImgDatabase!AI19</f>
        <v>#VALUE!</v>
      </c>
      <c r="U21" s="41">
        <v>60</v>
      </c>
      <c r="W21" s="36" t="e" vm="97">
        <f>ImgDatabase!AL19</f>
        <v>#VALUE!</v>
      </c>
      <c r="X21" s="41">
        <v>30</v>
      </c>
    </row>
    <row r="22" spans="4:24" ht="30" customHeight="1" x14ac:dyDescent="0.25">
      <c r="D22" s="36" t="e" vm="506">
        <f>ImgDatabase!P20</f>
        <v>#VALUE!</v>
      </c>
      <c r="E22" s="41">
        <v>42</v>
      </c>
      <c r="G22" s="36" t="e" vm="456">
        <f>ImgDatabase!T20</f>
        <v>#VALUE!</v>
      </c>
      <c r="H22" s="41">
        <v>12</v>
      </c>
      <c r="Q22" s="36" t="e" vm="774">
        <f>ImgDatabase!AF20</f>
        <v>#VALUE!</v>
      </c>
      <c r="R22" s="41">
        <v>205</v>
      </c>
      <c r="T22" s="36" t="e" vm="481">
        <f>ImgDatabase!AI20</f>
        <v>#VALUE!</v>
      </c>
      <c r="U22" s="41">
        <v>80</v>
      </c>
      <c r="W22" s="36" t="e" vm="775">
        <f>ImgDatabase!AL20</f>
        <v>#VALUE!</v>
      </c>
      <c r="X22" s="41">
        <v>38</v>
      </c>
    </row>
    <row r="23" spans="4:24" ht="30" customHeight="1" x14ac:dyDescent="0.25">
      <c r="D23" s="36" t="e" vm="250">
        <f>ImgDatabase!P21</f>
        <v>#VALUE!</v>
      </c>
      <c r="E23" s="41">
        <v>2</v>
      </c>
      <c r="G23" s="36" t="e" vm="390">
        <f>ImgDatabase!T21</f>
        <v>#VALUE!</v>
      </c>
      <c r="H23" s="41">
        <v>23</v>
      </c>
      <c r="Q23" s="36" t="e" vm="226">
        <f>ImgDatabase!AF21</f>
        <v>#VALUE!</v>
      </c>
      <c r="R23" s="41">
        <v>6</v>
      </c>
      <c r="T23" s="36" t="e" vm="185">
        <f>ImgDatabase!AI21</f>
        <v>#VALUE!</v>
      </c>
      <c r="U23" s="41">
        <v>17</v>
      </c>
      <c r="W23" s="36" t="e" vm="776">
        <f>ImgDatabase!AL21</f>
        <v>#VALUE!</v>
      </c>
      <c r="X23" s="41">
        <v>157</v>
      </c>
    </row>
    <row r="24" spans="4:24" ht="30" customHeight="1" x14ac:dyDescent="0.25">
      <c r="D24" s="36" t="e" vm="389">
        <f>ImgDatabase!P22</f>
        <v>#VALUE!</v>
      </c>
      <c r="E24" s="41">
        <v>48</v>
      </c>
      <c r="G24" s="36" t="e" vm="30">
        <f>ImgDatabase!T22</f>
        <v>#VALUE!</v>
      </c>
      <c r="H24" s="41">
        <v>7</v>
      </c>
      <c r="Q24" s="36" t="e" vm="777">
        <f>ImgDatabase!AF22</f>
        <v>#VALUE!</v>
      </c>
      <c r="R24" s="41">
        <v>27</v>
      </c>
      <c r="T24" s="36" t="e" vm="352">
        <f>ImgDatabase!AI22</f>
        <v>#VALUE!</v>
      </c>
      <c r="U24" s="41">
        <v>84</v>
      </c>
      <c r="W24" s="36" t="e" vm="778">
        <f>ImgDatabase!AL22</f>
        <v>#VALUE!</v>
      </c>
      <c r="X24" s="41">
        <v>152</v>
      </c>
    </row>
    <row r="25" spans="4:24" ht="30" customHeight="1" x14ac:dyDescent="0.25">
      <c r="D25" s="36" t="e" vm="522">
        <f>ImgDatabase!P23</f>
        <v>#VALUE!</v>
      </c>
      <c r="E25" s="41">
        <v>95</v>
      </c>
      <c r="G25" s="36" t="e" vm="443">
        <f>ImgDatabase!T23</f>
        <v>#VALUE!</v>
      </c>
      <c r="H25" s="41">
        <v>10</v>
      </c>
      <c r="Q25" s="36" t="e" vm="779">
        <f>ImgDatabase!AF23</f>
        <v>#VALUE!</v>
      </c>
      <c r="R25" s="41">
        <v>63</v>
      </c>
      <c r="T25" s="36" t="e" vm="426">
        <f>ImgDatabase!AI23</f>
        <v>#VALUE!</v>
      </c>
      <c r="U25" s="41">
        <v>167</v>
      </c>
      <c r="W25" s="36" t="e" vm="135">
        <f>ImgDatabase!AL23</f>
        <v>#VALUE!</v>
      </c>
      <c r="X25" s="41">
        <v>5</v>
      </c>
    </row>
    <row r="26" spans="4:24" ht="30" customHeight="1" x14ac:dyDescent="0.25">
      <c r="D26" s="36" t="e" vm="29">
        <f>ImgDatabase!P24</f>
        <v>#VALUE!</v>
      </c>
      <c r="E26" s="41">
        <v>45</v>
      </c>
      <c r="G26" s="36" t="e" vm="328">
        <f>ImgDatabase!T24</f>
        <v>#VALUE!</v>
      </c>
      <c r="H26" s="41">
        <v>2</v>
      </c>
      <c r="Q26" s="36" t="e" vm="183">
        <f>ImgDatabase!AF24</f>
        <v>#VALUE!</v>
      </c>
      <c r="R26" s="41">
        <v>6</v>
      </c>
      <c r="T26" s="36" t="e" vm="241">
        <f>ImgDatabase!AI24</f>
        <v>#VALUE!</v>
      </c>
      <c r="U26" s="41">
        <v>71</v>
      </c>
      <c r="W26" s="36" t="e" vm="780">
        <f>ImgDatabase!AL24</f>
        <v>#VALUE!</v>
      </c>
      <c r="X26" s="41">
        <v>47</v>
      </c>
    </row>
    <row r="27" spans="4:24" ht="30" customHeight="1" x14ac:dyDescent="0.25">
      <c r="D27" s="36" t="e" vm="225">
        <f>ImgDatabase!P25</f>
        <v>#VALUE!</v>
      </c>
      <c r="E27" s="41">
        <v>48</v>
      </c>
      <c r="G27" s="36" t="e" vm="433">
        <f>ImgDatabase!T25</f>
        <v>#VALUE!</v>
      </c>
      <c r="H27" s="41">
        <v>11</v>
      </c>
      <c r="Q27" s="36" t="e" vm="781">
        <f>ImgDatabase!AF25</f>
        <v>#VALUE!</v>
      </c>
      <c r="R27" s="41">
        <v>57</v>
      </c>
      <c r="T27" s="36" t="e" vm="152">
        <f>ImgDatabase!AI25</f>
        <v>#VALUE!</v>
      </c>
      <c r="U27" s="41">
        <v>278</v>
      </c>
      <c r="W27" s="36" t="e" vm="782">
        <f>ImgDatabase!AL25</f>
        <v>#VALUE!</v>
      </c>
      <c r="X27" s="41">
        <v>140</v>
      </c>
    </row>
    <row r="28" spans="4:24" ht="30" customHeight="1" x14ac:dyDescent="0.25">
      <c r="D28" s="36" t="e" vm="72">
        <f>ImgDatabase!P26</f>
        <v>#VALUE!</v>
      </c>
      <c r="E28" s="41">
        <v>48</v>
      </c>
      <c r="G28" s="36" t="e" vm="93">
        <f>ImgDatabase!T26</f>
        <v>#VALUE!</v>
      </c>
      <c r="H28" s="41">
        <v>3</v>
      </c>
      <c r="Q28" s="36" t="e" vm="783">
        <f>ImgDatabase!AF26</f>
        <v>#VALUE!</v>
      </c>
      <c r="R28" s="41">
        <v>49</v>
      </c>
      <c r="T28" s="36" t="e" vm="417">
        <f>ImgDatabase!AI26</f>
        <v>#VALUE!</v>
      </c>
      <c r="U28" s="41">
        <v>24</v>
      </c>
      <c r="W28" s="36" t="e" vm="784">
        <f>ImgDatabase!AL26</f>
        <v>#VALUE!</v>
      </c>
      <c r="X28" s="41">
        <v>169</v>
      </c>
    </row>
    <row r="29" spans="4:24" ht="30" customHeight="1" x14ac:dyDescent="0.25">
      <c r="D29" s="36" t="e" vm="514">
        <f>ImgDatabase!P27</f>
        <v>#VALUE!</v>
      </c>
      <c r="E29" s="41">
        <v>49</v>
      </c>
      <c r="G29" s="36" t="e" vm="73">
        <f>ImgDatabase!T27</f>
        <v>#VALUE!</v>
      </c>
      <c r="H29" s="41">
        <v>15</v>
      </c>
      <c r="Q29" s="36" t="e" vm="74">
        <f>ImgDatabase!AF27</f>
        <v>#VALUE!</v>
      </c>
      <c r="R29" s="41">
        <v>11</v>
      </c>
      <c r="T29" s="36" t="e" vm="227">
        <f>ImgDatabase!AI27</f>
        <v>#VALUE!</v>
      </c>
      <c r="U29" s="41">
        <v>178</v>
      </c>
      <c r="W29" s="36" t="e" vm="169">
        <f>ImgDatabase!AL27</f>
        <v>#VALUE!</v>
      </c>
      <c r="X29" s="41">
        <v>11</v>
      </c>
    </row>
    <row r="30" spans="4:24" ht="30" customHeight="1" x14ac:dyDescent="0.25">
      <c r="D30" s="36" t="e" vm="432">
        <f>ImgDatabase!P28</f>
        <v>#VALUE!</v>
      </c>
      <c r="E30" s="41">
        <v>46</v>
      </c>
      <c r="G30" s="36" t="e" vm="591">
        <f>ImgDatabase!T28</f>
        <v>#VALUE!</v>
      </c>
      <c r="H30" s="41">
        <v>14</v>
      </c>
      <c r="Q30" s="36" t="e" vm="785">
        <f>ImgDatabase!AF28</f>
        <v>#VALUE!</v>
      </c>
      <c r="R30" s="41">
        <v>82</v>
      </c>
      <c r="T30" s="36" t="e" vm="618">
        <f>ImgDatabase!AI28</f>
        <v>#VALUE!</v>
      </c>
      <c r="U30" s="41">
        <v>169</v>
      </c>
      <c r="W30" s="36" t="e" vm="786">
        <f>ImgDatabase!AL28</f>
        <v>#VALUE!</v>
      </c>
      <c r="X30" s="41">
        <v>68</v>
      </c>
    </row>
    <row r="31" spans="4:24" ht="30" customHeight="1" x14ac:dyDescent="0.25">
      <c r="D31" s="36" t="e" vm="560">
        <f>ImgDatabase!P29</f>
        <v>#VALUE!</v>
      </c>
      <c r="E31" s="41">
        <v>1</v>
      </c>
      <c r="G31" s="36" t="e" vm="114">
        <f>ImgDatabase!T29</f>
        <v>#VALUE!</v>
      </c>
      <c r="H31" s="41">
        <v>10</v>
      </c>
      <c r="Q31" s="36" t="e" vm="787">
        <f>ImgDatabase!AF29</f>
        <v>#VALUE!</v>
      </c>
      <c r="R31" s="41">
        <v>25</v>
      </c>
      <c r="T31" s="36" t="e" vm="371">
        <f>ImgDatabase!AI29</f>
        <v>#VALUE!</v>
      </c>
      <c r="U31" s="41">
        <v>17</v>
      </c>
      <c r="W31" s="36" t="e" vm="788">
        <f>ImgDatabase!AL29</f>
        <v>#VALUE!</v>
      </c>
      <c r="X31" s="41">
        <v>140</v>
      </c>
    </row>
    <row r="32" spans="4:24" ht="30" customHeight="1" x14ac:dyDescent="0.25">
      <c r="D32" s="36" t="e" vm="92">
        <f>ImgDatabase!P30</f>
        <v>#VALUE!</v>
      </c>
      <c r="E32" s="41">
        <v>0</v>
      </c>
      <c r="G32" s="36" t="e" vm="548">
        <f>ImgDatabase!T30</f>
        <v>#VALUE!</v>
      </c>
      <c r="H32" s="41">
        <v>1</v>
      </c>
      <c r="Q32" s="36" t="e" vm="391">
        <f>ImgDatabase!AF30</f>
        <v>#VALUE!</v>
      </c>
      <c r="R32" s="41">
        <v>7</v>
      </c>
      <c r="T32" s="36" t="e" vm="273">
        <f>ImgDatabase!AI30</f>
        <v>#VALUE!</v>
      </c>
      <c r="U32" s="41">
        <v>69</v>
      </c>
      <c r="W32" s="36" t="e" vm="789">
        <f>ImgDatabase!AL30</f>
        <v>#VALUE!</v>
      </c>
      <c r="X32" s="41">
        <v>121</v>
      </c>
    </row>
    <row r="33" spans="4:24" ht="30" customHeight="1" x14ac:dyDescent="0.25">
      <c r="D33" s="36" t="e" vm="113">
        <f>ImgDatabase!P31</f>
        <v>#VALUE!</v>
      </c>
      <c r="E33" s="41">
        <v>1</v>
      </c>
      <c r="G33" s="36" t="e" vm="790">
        <f>ImgDatabase!T31</f>
        <v>#VALUE!</v>
      </c>
      <c r="H33" s="41">
        <v>2</v>
      </c>
      <c r="Q33" s="36" t="e" vm="791">
        <f>ImgDatabase!AF31</f>
        <v>#VALUE!</v>
      </c>
      <c r="R33" s="41">
        <v>115</v>
      </c>
      <c r="T33" s="36" t="e" vm="251">
        <f>ImgDatabase!AI31</f>
        <v>#VALUE!</v>
      </c>
      <c r="U33" s="41">
        <v>6</v>
      </c>
      <c r="W33" s="36" t="e" vm="12">
        <f>ImgDatabase!AL31</f>
        <v>#VALUE!</v>
      </c>
      <c r="X33" s="41">
        <v>12</v>
      </c>
    </row>
    <row r="34" spans="4:24" ht="30" customHeight="1" x14ac:dyDescent="0.25">
      <c r="D34" s="36" t="e" vm="442">
        <f>ImgDatabase!P32</f>
        <v>#VALUE!</v>
      </c>
      <c r="E34" s="41">
        <v>20</v>
      </c>
      <c r="G34" s="36" t="e" vm="792">
        <f>ImgDatabase!T32</f>
        <v>#VALUE!</v>
      </c>
      <c r="H34" s="41">
        <v>1</v>
      </c>
      <c r="Q34" s="36" t="e" vm="793">
        <f>ImgDatabase!AF32</f>
        <v>#VALUE!</v>
      </c>
      <c r="R34" s="41">
        <v>115</v>
      </c>
      <c r="T34" s="36" t="e" vm="507">
        <f>ImgDatabase!AI32</f>
        <v>#VALUE!</v>
      </c>
      <c r="U34" s="41">
        <v>12</v>
      </c>
      <c r="W34" s="36" t="e" vm="794">
        <f>ImgDatabase!AL32</f>
        <v>#VALUE!</v>
      </c>
      <c r="X34" s="41">
        <v>81</v>
      </c>
    </row>
    <row r="35" spans="4:24" ht="30" customHeight="1" x14ac:dyDescent="0.25">
      <c r="D35" s="36" t="e" vm="547">
        <f>ImgDatabase!P33</f>
        <v>#VALUE!</v>
      </c>
      <c r="E35" s="41">
        <v>0</v>
      </c>
      <c r="Q35" s="36" t="e" vm="31">
        <f>ImgDatabase!AF33</f>
        <v>#VALUE!</v>
      </c>
      <c r="R35" s="41">
        <v>3</v>
      </c>
      <c r="T35" s="36" t="e" vm="76">
        <f>ImgDatabase!AI33</f>
        <v>#VALUE!</v>
      </c>
      <c r="U35" s="41">
        <v>26</v>
      </c>
      <c r="W35" s="36" t="e" vm="795">
        <f>ImgDatabase!AL33</f>
        <v>#VALUE!</v>
      </c>
      <c r="X35" s="41">
        <v>127</v>
      </c>
    </row>
    <row r="36" spans="4:24" ht="30" customHeight="1" x14ac:dyDescent="0.25">
      <c r="Q36" s="36" t="e" vm="796">
        <f>ImgDatabase!AF34</f>
        <v>#VALUE!</v>
      </c>
      <c r="R36" s="41">
        <v>31</v>
      </c>
      <c r="T36" s="36" t="e" vm="33">
        <f>ImgDatabase!AI34</f>
        <v>#VALUE!</v>
      </c>
      <c r="U36" s="41">
        <v>42</v>
      </c>
      <c r="W36" s="36" t="e" vm="797">
        <f>ImgDatabase!AL34</f>
        <v>#VALUE!</v>
      </c>
      <c r="X36" s="41">
        <v>144</v>
      </c>
    </row>
    <row r="37" spans="4:24" ht="30" customHeight="1" x14ac:dyDescent="0.25">
      <c r="Q37" s="36" t="e" vm="798">
        <f>ImgDatabase!AF35</f>
        <v>#VALUE!</v>
      </c>
      <c r="R37" s="41">
        <v>91</v>
      </c>
      <c r="T37" s="36" t="e" vm="523">
        <f>ImgDatabase!AI35</f>
        <v>#VALUE!</v>
      </c>
      <c r="U37" s="41">
        <v>24</v>
      </c>
    </row>
    <row r="38" spans="4:24" ht="30" customHeight="1" x14ac:dyDescent="0.25">
      <c r="Q38" s="36" t="e" vm="271">
        <f>ImgDatabase!AF36</f>
        <v>#VALUE!</v>
      </c>
      <c r="R38" s="41">
        <v>36</v>
      </c>
      <c r="T38" s="36" t="e" vm="444">
        <f>ImgDatabase!AI36</f>
        <v>#VALUE!</v>
      </c>
      <c r="U38" s="41">
        <v>15</v>
      </c>
    </row>
    <row r="39" spans="4:24" ht="30" customHeight="1" x14ac:dyDescent="0.25">
      <c r="Q39" s="36" t="e" vm="799">
        <f>ImgDatabase!AF37</f>
        <v>#VALUE!</v>
      </c>
      <c r="R39" s="41">
        <v>31</v>
      </c>
      <c r="T39" s="36" t="e" vm="605">
        <f>ImgDatabase!AI37</f>
        <v>#VALUE!</v>
      </c>
      <c r="U39" s="41">
        <v>60</v>
      </c>
    </row>
    <row r="40" spans="4:24" ht="30" customHeight="1" x14ac:dyDescent="0.25">
      <c r="Q40" s="36" t="e" vm="800">
        <f>ImgDatabase!AF38</f>
        <v>#VALUE!</v>
      </c>
      <c r="R40" s="41">
        <v>32</v>
      </c>
      <c r="T40" s="36" t="e" vm="561">
        <f>ImgDatabase!AI38</f>
        <v>#VALUE!</v>
      </c>
      <c r="U40" s="41">
        <v>6</v>
      </c>
    </row>
    <row r="41" spans="4:24" ht="30" customHeight="1" x14ac:dyDescent="0.25">
      <c r="Q41" s="36" t="e" vm="434">
        <f>ImgDatabase!AF39</f>
        <v>#VALUE!</v>
      </c>
      <c r="R41" s="41">
        <v>15</v>
      </c>
      <c r="T41" s="36" t="e" vm="515">
        <f>ImgDatabase!AI39</f>
        <v>#VALUE!</v>
      </c>
      <c r="U41" s="41">
        <v>112</v>
      </c>
    </row>
    <row r="42" spans="4:24" ht="30" customHeight="1" x14ac:dyDescent="0.25">
      <c r="Q42" s="36" t="e" vm="801">
        <f>ImgDatabase!AF40</f>
        <v>#VALUE!</v>
      </c>
      <c r="R42" s="41">
        <v>42</v>
      </c>
      <c r="T42" s="36" t="e" vm="262">
        <f>ImgDatabase!AI40</f>
        <v>#VALUE!</v>
      </c>
      <c r="U42" s="41">
        <v>167</v>
      </c>
    </row>
    <row r="43" spans="4:24" ht="30" customHeight="1" x14ac:dyDescent="0.25">
      <c r="Q43" s="36" t="e" vm="802">
        <f>ImgDatabase!AF41</f>
        <v>#VALUE!</v>
      </c>
      <c r="R43" s="41">
        <v>45</v>
      </c>
      <c r="T43" s="36" t="e" vm="436">
        <f>ImgDatabase!AI41</f>
        <v>#VALUE!</v>
      </c>
      <c r="U43" s="41">
        <v>6</v>
      </c>
    </row>
    <row r="44" spans="4:24" ht="30" customHeight="1" x14ac:dyDescent="0.25">
      <c r="Q44" s="36" t="e" vm="94">
        <f>ImgDatabase!AF42</f>
        <v>#VALUE!</v>
      </c>
      <c r="R44" s="41">
        <v>19</v>
      </c>
      <c r="T44" s="36" t="e" vm="96">
        <f>ImgDatabase!AI42</f>
        <v>#VALUE!</v>
      </c>
      <c r="U44" s="41">
        <v>35</v>
      </c>
    </row>
    <row r="45" spans="4:24" ht="30" customHeight="1" x14ac:dyDescent="0.25">
      <c r="Q45" s="36" t="e" vm="803">
        <f>ImgDatabase!AF43</f>
        <v>#VALUE!</v>
      </c>
      <c r="R45" s="41">
        <v>112</v>
      </c>
      <c r="T45" s="36" t="e" vm="116">
        <f>ImgDatabase!AI43</f>
        <v>#VALUE!</v>
      </c>
      <c r="U45" s="41">
        <v>33</v>
      </c>
    </row>
    <row r="46" spans="4:24" ht="30" customHeight="1" x14ac:dyDescent="0.25">
      <c r="Q46" s="36" t="e" vm="804">
        <f>ImgDatabase!AF44</f>
        <v>#VALUE!</v>
      </c>
      <c r="R46" s="41">
        <v>154</v>
      </c>
      <c r="T46" s="36" t="e" vm="588">
        <f>ImgDatabase!AI44</f>
        <v>#VALUE!</v>
      </c>
      <c r="U46" s="41">
        <v>60</v>
      </c>
    </row>
    <row r="47" spans="4:24" ht="30" customHeight="1" x14ac:dyDescent="0.25">
      <c r="Q47" s="36" t="e" vm="260">
        <f>ImgDatabase!AF45</f>
        <v>#VALUE!</v>
      </c>
      <c r="R47" s="41">
        <v>28</v>
      </c>
      <c r="T47" s="36" t="e" vm="527">
        <f>ImgDatabase!AI45</f>
        <v>#VALUE!</v>
      </c>
      <c r="U47" s="41">
        <v>66</v>
      </c>
    </row>
    <row r="48" spans="4:24" ht="30" customHeight="1" x14ac:dyDescent="0.25">
      <c r="Q48" s="36" t="e" vm="805">
        <f>ImgDatabase!AF46</f>
        <v>#VALUE!</v>
      </c>
      <c r="R48" s="41">
        <v>51</v>
      </c>
    </row>
    <row r="49" spans="17:18" ht="30" customHeight="1" x14ac:dyDescent="0.25">
      <c r="Q49" s="36" t="e" vm="806">
        <f>ImgDatabase!AF47</f>
        <v>#VALUE!</v>
      </c>
      <c r="R49" s="41">
        <v>121</v>
      </c>
    </row>
    <row r="50" spans="17:18" ht="30" customHeight="1" x14ac:dyDescent="0.25"/>
    <row r="51" spans="17:18" ht="30" customHeight="1" x14ac:dyDescent="0.25"/>
    <row r="52" spans="17:18" ht="30" customHeight="1" x14ac:dyDescent="0.25"/>
    <row r="53" spans="17:18" ht="30" customHeight="1" x14ac:dyDescent="0.25"/>
    <row r="54" spans="17:18" ht="30" customHeight="1" x14ac:dyDescent="0.25"/>
    <row r="55" spans="17:18" ht="30" customHeight="1" x14ac:dyDescent="0.25"/>
    <row r="56" spans="17:18" ht="30" customHeight="1" x14ac:dyDescent="0.25"/>
    <row r="57" spans="17:18" ht="30" customHeight="1" x14ac:dyDescent="0.25"/>
    <row r="58" spans="17:18" ht="30" customHeight="1" x14ac:dyDescent="0.25"/>
    <row r="59" spans="17:18" ht="30" customHeight="1" x14ac:dyDescent="0.25"/>
    <row r="60" spans="17:18" ht="30" customHeight="1" x14ac:dyDescent="0.25"/>
    <row r="61" spans="17:18" ht="30" customHeight="1" x14ac:dyDescent="0.25"/>
    <row r="62" spans="17:18" ht="30" customHeight="1" x14ac:dyDescent="0.25"/>
    <row r="63" spans="17:18" ht="30" customHeight="1" x14ac:dyDescent="0.25"/>
    <row r="64" spans="17:18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</sheetData>
  <mergeCells count="9">
    <mergeCell ref="A1:AA1"/>
    <mergeCell ref="W3:X3"/>
    <mergeCell ref="Z3:AA3"/>
    <mergeCell ref="D3:E3"/>
    <mergeCell ref="Q3:R3"/>
    <mergeCell ref="G3:H3"/>
    <mergeCell ref="J3:O3"/>
    <mergeCell ref="A3:B3"/>
    <mergeCell ref="T3:U3"/>
  </mergeCells>
  <phoneticPr fontId="3" type="noConversion"/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18B10-F5D5-42B4-9757-432F63EDDFF5}">
  <sheetPr codeName="Sheet11">
    <tabColor rgb="FF00B0F0"/>
  </sheetPr>
  <dimension ref="A1:BH111"/>
  <sheetViews>
    <sheetView tabSelected="1" topLeftCell="G1" zoomScale="115" zoomScaleNormal="115" workbookViewId="0">
      <selection activeCell="N3" sqref="N3"/>
    </sheetView>
  </sheetViews>
  <sheetFormatPr defaultColWidth="9.140625" defaultRowHeight="15.75" x14ac:dyDescent="0.25"/>
  <cols>
    <col min="1" max="1" width="4.85546875" style="77" customWidth="1"/>
    <col min="2" max="2" width="7.140625" style="77" customWidth="1"/>
    <col min="3" max="3" width="20.85546875" style="77" customWidth="1"/>
    <col min="4" max="4" width="19.42578125" style="53" hidden="1" customWidth="1"/>
    <col min="5" max="5" width="9.85546875" style="53" customWidth="1"/>
    <col min="6" max="6" width="9.42578125" style="53" customWidth="1"/>
    <col min="7" max="7" width="11" style="53" customWidth="1"/>
    <col min="8" max="11" width="8.5703125" style="53" customWidth="1"/>
    <col min="12" max="12" width="1.42578125" style="53" customWidth="1"/>
    <col min="13" max="16" width="8.5703125" style="53" customWidth="1"/>
    <col min="17" max="17" width="1.42578125" style="53" customWidth="1"/>
    <col min="18" max="18" width="8.5703125" style="53" customWidth="1"/>
    <col min="19" max="19" width="1.42578125" style="53" customWidth="1"/>
    <col min="20" max="20" width="11.28515625" style="53" customWidth="1"/>
    <col min="21" max="21" width="8.7109375" style="53" customWidth="1"/>
    <col min="22" max="22" width="1.42578125" style="53" customWidth="1"/>
    <col min="23" max="23" width="10" style="53" customWidth="1"/>
    <col min="24" max="26" width="7.85546875" style="53" customWidth="1"/>
    <col min="27" max="27" width="1.42578125" style="53" customWidth="1"/>
    <col min="28" max="28" width="11.42578125" style="53" customWidth="1"/>
    <col min="29" max="29" width="8.7109375" style="53" customWidth="1"/>
    <col min="30" max="30" width="1.42578125" style="53" customWidth="1"/>
    <col min="31" max="31" width="11.140625" style="53" customWidth="1"/>
    <col min="32" max="32" width="8.7109375" style="53" customWidth="1"/>
    <col min="33" max="33" width="1.42578125" style="53" customWidth="1"/>
    <col min="34" max="34" width="8.85546875" style="53" customWidth="1"/>
    <col min="35" max="38" width="10.85546875" style="53" customWidth="1"/>
    <col min="39" max="39" width="1.42578125" style="53" customWidth="1"/>
    <col min="40" max="40" width="9.42578125" style="53" customWidth="1"/>
    <col min="41" max="46" width="7.140625" style="53" customWidth="1"/>
    <col min="47" max="49" width="8.28515625" style="77" customWidth="1"/>
    <col min="50" max="50" width="1.42578125" style="53" customWidth="1"/>
    <col min="51" max="55" width="16.42578125" style="53" customWidth="1"/>
    <col min="56" max="56" width="1.42578125" style="53" customWidth="1"/>
    <col min="57" max="57" width="11" style="53" bestFit="1" customWidth="1"/>
    <col min="58" max="59" width="11" style="53" customWidth="1"/>
    <col min="60" max="16384" width="9.140625" style="53"/>
  </cols>
  <sheetData>
    <row r="1" spans="1:60" s="115" customFormat="1" ht="33.75" customHeight="1" thickBot="1" x14ac:dyDescent="0.3">
      <c r="A1" s="200" t="s">
        <v>662</v>
      </c>
      <c r="B1" s="201"/>
      <c r="C1" s="201"/>
      <c r="D1" s="201"/>
      <c r="E1" s="201"/>
      <c r="F1" s="201"/>
      <c r="G1" s="202"/>
      <c r="H1" s="196" t="s">
        <v>663</v>
      </c>
      <c r="I1" s="196"/>
      <c r="J1" s="196"/>
      <c r="K1" s="197"/>
      <c r="M1" s="203" t="s">
        <v>664</v>
      </c>
      <c r="N1" s="204"/>
      <c r="O1" s="204"/>
      <c r="P1" s="205"/>
      <c r="R1" s="138" t="e" vm="718">
        <f>ImgDatabase!A3</f>
        <v>#VALUE!</v>
      </c>
      <c r="T1" s="198" t="s">
        <v>0</v>
      </c>
      <c r="U1" s="197"/>
      <c r="W1" s="198" t="s">
        <v>68</v>
      </c>
      <c r="X1" s="196"/>
      <c r="Y1" s="196"/>
      <c r="Z1" s="197"/>
      <c r="AB1" s="198" t="s">
        <v>39</v>
      </c>
      <c r="AC1" s="197"/>
      <c r="AE1" s="198" t="s">
        <v>665</v>
      </c>
      <c r="AF1" s="197"/>
      <c r="AH1" s="199" t="s">
        <v>666</v>
      </c>
      <c r="AI1" s="199"/>
      <c r="AJ1" s="199"/>
      <c r="AK1" s="199"/>
      <c r="AL1" s="199"/>
      <c r="AN1" s="198" t="s">
        <v>667</v>
      </c>
      <c r="AO1" s="196"/>
      <c r="AP1" s="196"/>
      <c r="AQ1" s="196"/>
      <c r="AR1" s="196"/>
      <c r="AS1" s="196"/>
      <c r="AT1" s="197"/>
      <c r="AU1" s="198" t="s">
        <v>668</v>
      </c>
      <c r="AV1" s="196"/>
      <c r="AW1" s="197"/>
      <c r="AY1" s="194" t="s">
        <v>669</v>
      </c>
      <c r="AZ1" s="195"/>
      <c r="BA1" s="195"/>
      <c r="BB1" s="139" t="e" vm="721">
        <f>ImgDatabase!$AQ$3</f>
        <v>#VALUE!</v>
      </c>
      <c r="BC1" s="140"/>
      <c r="BE1" s="194" t="s">
        <v>824</v>
      </c>
      <c r="BF1" s="195"/>
      <c r="BG1" s="196" t="e" vm="727">
        <f>ImgDatabase!$AQ$4</f>
        <v>#VALUE!</v>
      </c>
      <c r="BH1" s="197"/>
    </row>
    <row r="2" spans="1:60" s="125" customFormat="1" ht="45" customHeight="1" thickBot="1" x14ac:dyDescent="0.3">
      <c r="A2" s="116" t="s">
        <v>670</v>
      </c>
      <c r="B2" s="117" t="s">
        <v>74</v>
      </c>
      <c r="C2" s="117" t="s">
        <v>24</v>
      </c>
      <c r="D2" s="117" t="s">
        <v>671</v>
      </c>
      <c r="E2" s="117" t="s">
        <v>29</v>
      </c>
      <c r="F2" s="117" t="s">
        <v>75</v>
      </c>
      <c r="G2" s="118" t="s">
        <v>672</v>
      </c>
      <c r="H2" s="119" t="s">
        <v>673</v>
      </c>
      <c r="I2" s="120" t="s">
        <v>674</v>
      </c>
      <c r="J2" s="120" t="s">
        <v>675</v>
      </c>
      <c r="K2" s="121" t="s">
        <v>676</v>
      </c>
      <c r="L2" s="122"/>
      <c r="M2" s="187" t="s">
        <v>866</v>
      </c>
      <c r="N2" s="188" t="s">
        <v>867</v>
      </c>
      <c r="O2" s="188" t="s">
        <v>868</v>
      </c>
      <c r="P2" s="189" t="s">
        <v>869</v>
      </c>
      <c r="Q2" s="122"/>
      <c r="R2" s="117" t="s">
        <v>677</v>
      </c>
      <c r="S2" s="122"/>
      <c r="T2" s="123" t="s">
        <v>678</v>
      </c>
      <c r="U2" s="121" t="s">
        <v>679</v>
      </c>
      <c r="V2" s="122"/>
      <c r="W2" s="119" t="s">
        <v>680</v>
      </c>
      <c r="X2" s="120" t="s">
        <v>681</v>
      </c>
      <c r="Y2" s="120" t="s">
        <v>682</v>
      </c>
      <c r="Z2" s="121" t="s">
        <v>683</v>
      </c>
      <c r="AA2" s="122"/>
      <c r="AB2" s="123" t="s">
        <v>678</v>
      </c>
      <c r="AC2" s="121" t="s">
        <v>679</v>
      </c>
      <c r="AD2" s="122"/>
      <c r="AE2" s="119" t="s">
        <v>684</v>
      </c>
      <c r="AF2" s="121" t="s">
        <v>679</v>
      </c>
      <c r="AG2" s="122"/>
      <c r="AH2" s="119" t="s">
        <v>685</v>
      </c>
      <c r="AI2" s="120" t="s">
        <v>56</v>
      </c>
      <c r="AJ2" s="120" t="s">
        <v>55</v>
      </c>
      <c r="AK2" s="120" t="s">
        <v>54</v>
      </c>
      <c r="AL2" s="121" t="s">
        <v>53</v>
      </c>
      <c r="AM2" s="122"/>
      <c r="AN2" s="124" t="s">
        <v>686</v>
      </c>
      <c r="AO2" s="124" t="s">
        <v>811</v>
      </c>
      <c r="AP2" s="120" t="s">
        <v>812</v>
      </c>
      <c r="AQ2" s="121" t="s">
        <v>813</v>
      </c>
      <c r="AR2" s="124" t="s">
        <v>814</v>
      </c>
      <c r="AS2" s="120" t="s">
        <v>815</v>
      </c>
      <c r="AT2" s="121" t="s">
        <v>816</v>
      </c>
      <c r="AU2" s="124" t="s">
        <v>59</v>
      </c>
      <c r="AV2" s="120" t="s">
        <v>58</v>
      </c>
      <c r="AW2" s="121" t="s">
        <v>57</v>
      </c>
      <c r="AX2" s="122"/>
      <c r="AY2" s="124" t="s">
        <v>687</v>
      </c>
      <c r="AZ2" s="120" t="s">
        <v>688</v>
      </c>
      <c r="BA2" s="120" t="s">
        <v>689</v>
      </c>
      <c r="BB2" s="120" t="s">
        <v>690</v>
      </c>
      <c r="BC2" s="121" t="s">
        <v>691</v>
      </c>
      <c r="BD2" s="122"/>
      <c r="BE2" s="124" t="s">
        <v>674</v>
      </c>
      <c r="BF2" s="120" t="s">
        <v>675</v>
      </c>
      <c r="BG2" s="121" t="s">
        <v>676</v>
      </c>
      <c r="BH2" s="121" t="s">
        <v>706</v>
      </c>
    </row>
    <row r="3" spans="1:60" ht="30" customHeight="1" x14ac:dyDescent="0.25">
      <c r="A3" s="46">
        <f>SUBTOTAL(3,$D$3:Character[[#This Row],[NameHelper]])</f>
        <v>1</v>
      </c>
      <c r="B3" s="47" t="e" vm="807">
        <f>IFERROR(INDEX(ImgDatabase!$D:$D, MATCH(Character[[#This Row],[NameHelper]], ImgDatabase!$E:$E, 0)), "")</f>
        <v>#VALUE!</v>
      </c>
      <c r="C3" s="48" t="s">
        <v>81</v>
      </c>
      <c r="D3" s="48" t="s">
        <v>81</v>
      </c>
      <c r="E3" s="49" t="e" vm="6">
        <f>IFERROR(INDEX(ImgDatabase!$G:$G, MATCH(Character[[#This Row],[NameHelper]], ImgDatabase!$E:$E, 0)), "")</f>
        <v>#VALUE!</v>
      </c>
      <c r="F3" s="49" t="e" vm="5">
        <f>IFERROR(INDEX(CharacterDetailsImg[Weapon Type], MATCH(Character[[#This Row],[NameHelper]], CharacterDetailsImg[Name], 0)), "")</f>
        <v>#VALUE!</v>
      </c>
      <c r="G3" s="50">
        <f>IFERROR(INDEX(CharacterDetailsImg[Released Version], MATCH(Character[[#This Row],[NameHelper]], CharacterDetailsImg[Name], 0)), "")</f>
        <v>1.2</v>
      </c>
      <c r="H3" s="51">
        <v>90</v>
      </c>
      <c r="I3" s="41">
        <v>1</v>
      </c>
      <c r="J3" s="41">
        <v>9</v>
      </c>
      <c r="K3" s="52">
        <v>9</v>
      </c>
      <c r="M3" s="80">
        <v>81</v>
      </c>
      <c r="N3" s="80">
        <v>1</v>
      </c>
      <c r="O3" s="81">
        <v>9</v>
      </c>
      <c r="P3" s="82">
        <v>9</v>
      </c>
      <c r="R3" s="54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3" s="55" t="e" vm="7">
        <f>IF(Character[[#This Row],[Name]]="Traveler","",IFERROR(INDEX(ImgDatabase!$I:$I,MATCH(Character[[#This Row],[NameHelper]],ImgDatabase!$E:$E,0)),""))</f>
        <v>#VALUE!</v>
      </c>
      <c r="U3" s="5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3" s="57" t="e" vm="9">
        <f>IF(Character[[#This Row],[Name]]="Traveler","",IFERROR(INDEX(ImgDatabase!$K:$K, MATCH(Character[[#This Row],[NameHelper]], ImgDatabase!$E:$E, 0)), ""))</f>
        <v>#VALUE!</v>
      </c>
      <c r="X3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3" s="59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3" s="60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3" s="61" t="e" vm="8">
        <f>IFERROR(INDEX(ImgDatabase!$J:$J, MATCH(Character[[#This Row],[NameHelper]], ImgDatabase!$E:$E, 0)), "")</f>
        <v>#VALUE!</v>
      </c>
      <c r="AC3" s="60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3" s="62" t="e" vm="11">
        <f>IFERROR(INDEX(ImgDatabase!$M:$M, MATCH(Character[[#This Row],[NameHelper]], ImgDatabase!$E:$E, 0)), "")</f>
        <v>#VALUE!</v>
      </c>
      <c r="AF3" s="5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3" s="63" t="e" vm="12">
        <f>IFERROR(INDEX(ImgDatabase!$N:$N, MATCH(Character[[#This Row],[NameHelper]], ImgDatabase!$E:$E, 0)), "")</f>
        <v>#VALUE!</v>
      </c>
      <c r="AI3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3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3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3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3" s="64" t="e" vm="10">
        <f>IFERROR(INDEX(ImgDatabase!$L:$L, MATCH(Character[[#This Row],[NameHelper]], ImgDatabase!$E:$E, 0)), "")</f>
        <v>#VALUE!</v>
      </c>
      <c r="AO3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3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3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3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3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3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3" s="70">
        <f t="shared" ref="AU3:AU34" si="0">SUM(AO3,AR3)</f>
        <v>0</v>
      </c>
      <c r="AV3" s="71">
        <f t="shared" ref="AV3:AV34" si="1">SUM(AP3,AS3)</f>
        <v>0</v>
      </c>
      <c r="AW3" s="72">
        <f t="shared" ref="AW3:AW34" si="2">SUM(AQ3,AT3)</f>
        <v>0</v>
      </c>
      <c r="AY3" s="126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3" s="127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3" s="127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3" s="127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3" s="128">
        <f>SUM(Table40[[#This Row],[Ascension
Cost]:[Talent Cost
(Burst)]])</f>
        <v>0</v>
      </c>
      <c r="BE3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3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3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3" s="75">
        <f>SUM(Table53[[#This Row],[NA]:[Burst]])</f>
        <v>0</v>
      </c>
    </row>
    <row r="4" spans="1:60" ht="30" customHeight="1" x14ac:dyDescent="0.25">
      <c r="A4" s="76">
        <f>SUBTOTAL(3,$D$3:Character[[#This Row],[NameHelper]])</f>
        <v>2</v>
      </c>
      <c r="B4" s="77" t="e" vm="808">
        <f>IFERROR(INDEX(ImgDatabase!$D:$D, MATCH(Character[[#This Row],[NameHelper]], ImgDatabase!$E:$E, 0)), "")</f>
        <v>#VALUE!</v>
      </c>
      <c r="C4" s="78" t="s">
        <v>95</v>
      </c>
      <c r="D4" s="78" t="s">
        <v>95</v>
      </c>
      <c r="E4" s="53" t="e" vm="28">
        <f>IFERROR(INDEX(ImgDatabase!$G:$G, MATCH(Character[[#This Row],[NameHelper]], ImgDatabase!$E:$E, 0)), "")</f>
        <v>#VALUE!</v>
      </c>
      <c r="F4" s="53" t="e" vm="5">
        <f>IFERROR(INDEX(CharacterDetailsImg[Weapon Type], MATCH(Character[[#This Row],[NameHelper]], CharacterDetailsImg[Name], 0)), "")</f>
        <v>#VALUE!</v>
      </c>
      <c r="G4" s="79">
        <f>IFERROR(INDEX(CharacterDetailsImg[Released Version], MATCH(Character[[#This Row],[NameHelper]], CharacterDetailsImg[Name], 0)), "")</f>
        <v>3.4</v>
      </c>
      <c r="H4" s="51">
        <v>21</v>
      </c>
      <c r="I4" s="41">
        <v>1</v>
      </c>
      <c r="J4" s="41">
        <v>1</v>
      </c>
      <c r="K4" s="52">
        <v>1</v>
      </c>
      <c r="M4" s="80">
        <v>81</v>
      </c>
      <c r="N4" s="80">
        <v>1</v>
      </c>
      <c r="O4" s="81">
        <v>9</v>
      </c>
      <c r="P4" s="82">
        <v>9</v>
      </c>
      <c r="R4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250</v>
      </c>
      <c r="T4" s="83" t="e" vm="29">
        <f>IF(Character[[#This Row],[Name]]="Traveler","",IFERROR(INDEX(ImgDatabase!$I:$I,MATCH(Character[[#This Row],[NameHelper]],ImgDatabase!$E:$E,0)),""))</f>
        <v>#VALUE!</v>
      </c>
      <c r="U4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4" s="85" t="e" vm="31">
        <f>IF(Character[[#This Row],[Name]]="Traveler","",IFERROR(INDEX(ImgDatabase!$K:$K, MATCH(Character[[#This Row],[NameHelper]], ImgDatabase!$E:$E, 0)), ""))</f>
        <v>#VALUE!</v>
      </c>
      <c r="X4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4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4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4" s="85" t="e" vm="30">
        <f>IFERROR(INDEX(ImgDatabase!$J:$J, MATCH(Character[[#This Row],[NameHelper]], ImgDatabase!$E:$E, 0)), "")</f>
        <v>#VALUE!</v>
      </c>
      <c r="AC4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4" s="83" t="e" vm="33">
        <f>IFERROR(INDEX(ImgDatabase!$M:$M, MATCH(Character[[#This Row],[NameHelper]], ImgDatabase!$E:$E, 0)), "")</f>
        <v>#VALUE!</v>
      </c>
      <c r="AF4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4" s="83" t="e" vm="34">
        <f>IFERROR(INDEX(ImgDatabase!$N:$N, MATCH(Character[[#This Row],[NameHelper]], ImgDatabase!$E:$E, 0)), "")</f>
        <v>#VALUE!</v>
      </c>
      <c r="AI4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4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4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4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4" s="53" t="e" vm="32">
        <f>IFERROR(INDEX(ImgDatabase!$L:$L, MATCH(Character[[#This Row],[NameHelper]], ImgDatabase!$E:$E, 0)), "")</f>
        <v>#VALUE!</v>
      </c>
      <c r="AO4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4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4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4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4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4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4" s="89">
        <f t="shared" si="0"/>
        <v>74</v>
      </c>
      <c r="AV4" s="90">
        <f t="shared" si="1"/>
        <v>74</v>
      </c>
      <c r="AW4" s="91">
        <f t="shared" si="2"/>
        <v>27</v>
      </c>
      <c r="AY4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1397530</v>
      </c>
      <c r="AZ4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4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4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4" s="131">
        <f>SUM(Table40[[#This Row],[Ascension
Cost]:[Talent Cost
(Burst)]])</f>
        <v>3302530</v>
      </c>
      <c r="BE4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4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4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4" s="75">
        <f>SUM(Table53[[#This Row],[NA]:[Burst]])</f>
        <v>0</v>
      </c>
    </row>
    <row r="5" spans="1:60" ht="30" customHeight="1" x14ac:dyDescent="0.25">
      <c r="A5" s="76">
        <f>SUBTOTAL(3,$D$3:Character[[#This Row],[NameHelper]])</f>
        <v>3</v>
      </c>
      <c r="B5" s="77" t="e" vm="809">
        <f>IFERROR(INDEX(ImgDatabase!$D:$D, MATCH(Character[[#This Row],[NameHelper]], ImgDatabase!$E:$E, 0)), "")</f>
        <v>#VALUE!</v>
      </c>
      <c r="C5" s="78" t="s">
        <v>351</v>
      </c>
      <c r="D5" s="78" t="s">
        <v>351</v>
      </c>
      <c r="E5" s="53" t="e" vm="165">
        <f>IFERROR(INDEX(ImgDatabase!$G:$G, MATCH(Character[[#This Row],[NameHelper]], ImgDatabase!$E:$E, 0)), "")</f>
        <v>#VALUE!</v>
      </c>
      <c r="F5" s="53" t="e" vm="348">
        <f>IFERROR(INDEX(CharacterDetailsImg[Weapon Type], MATCH(Character[[#This Row],[NameHelper]], CharacterDetailsImg[Name], 0)), "")</f>
        <v>#VALUE!</v>
      </c>
      <c r="G5" s="79">
        <f>IFERROR(INDEX(CharacterDetailsImg[Released Version], MATCH(Character[[#This Row],[NameHelper]], CharacterDetailsImg[Name], 0)), "")</f>
        <v>2.1</v>
      </c>
      <c r="H5" s="51">
        <v>21</v>
      </c>
      <c r="I5" s="41">
        <v>1</v>
      </c>
      <c r="J5" s="41">
        <v>1</v>
      </c>
      <c r="K5" s="52">
        <v>1</v>
      </c>
      <c r="M5" s="80">
        <v>81</v>
      </c>
      <c r="N5" s="80">
        <v>1</v>
      </c>
      <c r="O5" s="81">
        <v>9</v>
      </c>
      <c r="P5" s="82">
        <v>9</v>
      </c>
      <c r="R5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250</v>
      </c>
      <c r="T5" s="83" t="e" vm="349">
        <f>IF(Character[[#This Row],[Name]]="Traveler","",IFERROR(INDEX(ImgDatabase!$I:$I,MATCH(Character[[#This Row],[NameHelper]],ImgDatabase!$E:$E,0)),""))</f>
        <v>#VALUE!</v>
      </c>
      <c r="U5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5" s="85" t="e" vm="351">
        <f>IF(Character[[#This Row],[Name]]="Traveler","",IFERROR(INDEX(ImgDatabase!$K:$K, MATCH(Character[[#This Row],[NameHelper]], ImgDatabase!$E:$E, 0)), ""))</f>
        <v>#VALUE!</v>
      </c>
      <c r="X5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5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5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5" s="92" t="e" vm="350">
        <f>IFERROR(INDEX(ImgDatabase!$J:$J, MATCH(Character[[#This Row],[NameHelper]], ImgDatabase!$E:$E, 0)), "")</f>
        <v>#VALUE!</v>
      </c>
      <c r="AC5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5" s="63" t="e" vm="352">
        <f>IFERROR(INDEX(ImgDatabase!$M:$M, MATCH(Character[[#This Row],[NameHelper]], ImgDatabase!$E:$E, 0)), "")</f>
        <v>#VALUE!</v>
      </c>
      <c r="AF5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5" s="63" t="e" vm="169">
        <f>IFERROR(INDEX(ImgDatabase!$N:$N, MATCH(Character[[#This Row],[NameHelper]], ImgDatabase!$E:$E, 0)), "")</f>
        <v>#VALUE!</v>
      </c>
      <c r="AI5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5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5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5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5" s="64" t="e" vm="75">
        <f>IFERROR(INDEX(ImgDatabase!$L:$L, MATCH(Character[[#This Row],[NameHelper]], ImgDatabase!$E:$E, 0)), "")</f>
        <v>#VALUE!</v>
      </c>
      <c r="AO5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5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5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5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5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5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5" s="70">
        <f t="shared" si="0"/>
        <v>74</v>
      </c>
      <c r="AV5" s="71">
        <f t="shared" si="1"/>
        <v>74</v>
      </c>
      <c r="AW5" s="72">
        <f t="shared" si="2"/>
        <v>27</v>
      </c>
      <c r="AY5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1397530</v>
      </c>
      <c r="AZ5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5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5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5" s="134">
        <f>SUM(Table40[[#This Row],[Ascension
Cost]:[Talent Cost
(Burst)]])</f>
        <v>3302530</v>
      </c>
      <c r="BE5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5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5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5" s="75">
        <f>SUM(Table53[[#This Row],[NA]:[Burst]])</f>
        <v>0</v>
      </c>
    </row>
    <row r="6" spans="1:60" ht="30" customHeight="1" x14ac:dyDescent="0.25">
      <c r="A6" s="76">
        <f>SUBTOTAL(3,$D$3:Character[[#This Row],[NameHelper]])</f>
        <v>4</v>
      </c>
      <c r="B6" s="77" t="e" vm="810">
        <f>IFERROR(INDEX(ImgDatabase!$D:$D, MATCH(Character[[#This Row],[NameHelper]], ImgDatabase!$E:$E, 0)), "")</f>
        <v>#VALUE!</v>
      </c>
      <c r="C6" s="78" t="s">
        <v>360</v>
      </c>
      <c r="D6" s="78" t="s">
        <v>360</v>
      </c>
      <c r="E6" s="53" t="e" vm="50">
        <f>IFERROR(INDEX(ImgDatabase!$G:$G, MATCH(Character[[#This Row],[NameHelper]], ImgDatabase!$E:$E, 0)), "")</f>
        <v>#VALUE!</v>
      </c>
      <c r="F6" s="53" t="e" vm="348">
        <f>IFERROR(INDEX(CharacterDetailsImg[Weapon Type], MATCH(Character[[#This Row],[NameHelper]], CharacterDetailsImg[Name], 0)), "")</f>
        <v>#VALUE!</v>
      </c>
      <c r="G6" s="79">
        <f>IFERROR(INDEX(CharacterDetailsImg[Released Version], MATCH(Character[[#This Row],[NameHelper]], CharacterDetailsImg[Name], 0)), "")</f>
        <v>1</v>
      </c>
      <c r="H6" s="51">
        <v>60</v>
      </c>
      <c r="I6" s="41">
        <v>1</v>
      </c>
      <c r="J6" s="41">
        <v>1</v>
      </c>
      <c r="K6" s="52">
        <v>1</v>
      </c>
      <c r="M6" s="80">
        <v>81</v>
      </c>
      <c r="N6" s="80">
        <v>1</v>
      </c>
      <c r="O6" s="81">
        <v>9</v>
      </c>
      <c r="P6" s="82">
        <v>9</v>
      </c>
      <c r="R6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150</v>
      </c>
      <c r="T6" s="83" t="e" vm="51">
        <f>IF(Character[[#This Row],[Name]]="Traveler","",IFERROR(INDEX(ImgDatabase!$I:$I,MATCH(Character[[#This Row],[NameHelper]],ImgDatabase!$E:$E,0)),""))</f>
        <v>#VALUE!</v>
      </c>
      <c r="U6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40</v>
      </c>
      <c r="W6" s="85" t="e" vm="351">
        <f>IF(Character[[#This Row],[Name]]="Traveler","",IFERROR(INDEX(ImgDatabase!$K:$K, MATCH(Character[[#This Row],[NameHelper]], ImgDatabase!$E:$E, 0)), ""))</f>
        <v>#VALUE!</v>
      </c>
      <c r="X6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6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6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6" s="85" t="e" vm="292">
        <f>IFERROR(INDEX(ImgDatabase!$J:$J, MATCH(Character[[#This Row],[NameHelper]], ImgDatabase!$E:$E, 0)), "")</f>
        <v>#VALUE!</v>
      </c>
      <c r="AC6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6" s="83" t="e" vm="361">
        <f>IFERROR(INDEX(ImgDatabase!$M:$M, MATCH(Character[[#This Row],[NameHelper]], ImgDatabase!$E:$E, 0)), "")</f>
        <v>#VALUE!</v>
      </c>
      <c r="AF6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135</v>
      </c>
      <c r="AH6" s="83" t="e" vm="56">
        <f>IFERROR(INDEX(ImgDatabase!$N:$N, MATCH(Character[[#This Row],[NameHelper]], ImgDatabase!$E:$E, 0)), "")</f>
        <v>#VALUE!</v>
      </c>
      <c r="AI6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6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6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6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6" s="53" t="e" vm="302">
        <f>IFERROR(INDEX(ImgDatabase!$L:$L, MATCH(Character[[#This Row],[NameHelper]], ImgDatabase!$E:$E, 0)), "")</f>
        <v>#VALUE!</v>
      </c>
      <c r="AO6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6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18</v>
      </c>
      <c r="AQ6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6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6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6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6" s="89">
        <f t="shared" si="0"/>
        <v>74</v>
      </c>
      <c r="AV6" s="90">
        <f t="shared" si="1"/>
        <v>62</v>
      </c>
      <c r="AW6" s="91">
        <f t="shared" si="2"/>
        <v>12</v>
      </c>
      <c r="AY6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898195</v>
      </c>
      <c r="AZ6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6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6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6" s="131">
        <f>SUM(Table40[[#This Row],[Ascension
Cost]:[Talent Cost
(Burst)]])</f>
        <v>2803195</v>
      </c>
      <c r="BE6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6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6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6" s="75">
        <f>SUM(Table53[[#This Row],[NA]:[Burst]])</f>
        <v>0</v>
      </c>
    </row>
    <row r="7" spans="1:60" ht="30" customHeight="1" x14ac:dyDescent="0.25">
      <c r="A7" s="76">
        <f>SUBTOTAL(3,$D$3:Character[[#This Row],[NameHelper]])</f>
        <v>5</v>
      </c>
      <c r="B7" s="77" t="e" vm="811">
        <f>IFERROR(INDEX(ImgDatabase!$D:$D, MATCH(Character[[#This Row],[NameHelper]], ImgDatabase!$E:$E, 0)), "")</f>
        <v>#VALUE!</v>
      </c>
      <c r="C7" s="78" t="s">
        <v>692</v>
      </c>
      <c r="D7" s="78" t="s">
        <v>459</v>
      </c>
      <c r="E7" s="53" t="e" vm="6">
        <f>IFERROR(INDEX(ImgDatabase!$G:$G, MATCH(Character[[#This Row],[NameHelper]], ImgDatabase!$E:$E, 0)), "")</f>
        <v>#VALUE!</v>
      </c>
      <c r="F7" s="53" t="e" vm="479">
        <f>IFERROR(INDEX(CharacterDetailsImg[Weapon Type], MATCH(Character[[#This Row],[NameHelper]], CharacterDetailsImg[Name], 0)), "")</f>
        <v>#VALUE!</v>
      </c>
      <c r="G7" s="79">
        <f>IFERROR(INDEX(CharacterDetailsImg[Released Version], MATCH(Character[[#This Row],[NameHelper]], CharacterDetailsImg[Name], 0)), "")</f>
        <v>2.2999999999999998</v>
      </c>
      <c r="H7" s="51">
        <v>0</v>
      </c>
      <c r="I7" s="41">
        <v>0</v>
      </c>
      <c r="J7" s="41">
        <v>0</v>
      </c>
      <c r="K7" s="52">
        <v>0</v>
      </c>
      <c r="M7" s="80">
        <v>81</v>
      </c>
      <c r="N7" s="80">
        <v>1</v>
      </c>
      <c r="O7" s="81">
        <v>9</v>
      </c>
      <c r="P7" s="82">
        <v>9</v>
      </c>
      <c r="R7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7" s="83" t="e" vm="480">
        <f>IF(Character[[#This Row],[Name]]="Traveler","",IFERROR(INDEX(ImgDatabase!$I:$I,MATCH(Character[[#This Row],[NameHelper]],ImgDatabase!$E:$E,0)),""))</f>
        <v>#VALUE!</v>
      </c>
      <c r="U7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7" s="85" t="e" vm="183">
        <f>IF(Character[[#This Row],[Name]]="Traveler","",IFERROR(INDEX(ImgDatabase!$K:$K, MATCH(Character[[#This Row],[NameHelper]], ImgDatabase!$E:$E, 0)), ""))</f>
        <v>#VALUE!</v>
      </c>
      <c r="X7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7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7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7" s="92" t="e" vm="425">
        <f>IFERROR(INDEX(ImgDatabase!$J:$J, MATCH(Character[[#This Row],[NameHelper]], ImgDatabase!$E:$E, 0)), "")</f>
        <v>#VALUE!</v>
      </c>
      <c r="AC7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7" s="63" t="e" vm="481">
        <f>IFERROR(INDEX(ImgDatabase!$M:$M, MATCH(Character[[#This Row],[NameHelper]], ImgDatabase!$E:$E, 0)), "")</f>
        <v>#VALUE!</v>
      </c>
      <c r="AF7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7" s="63" t="e" vm="12">
        <f>IFERROR(INDEX(ImgDatabase!$N:$N, MATCH(Character[[#This Row],[NameHelper]], ImgDatabase!$E:$E, 0)), "")</f>
        <v>#VALUE!</v>
      </c>
      <c r="AI7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7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7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7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7" s="64" t="e" vm="462">
        <f>IFERROR(INDEX(ImgDatabase!$L:$L, MATCH(Character[[#This Row],[NameHelper]], ImgDatabase!$E:$E, 0)), "")</f>
        <v>#VALUE!</v>
      </c>
      <c r="AO7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7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7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7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7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7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7" s="70">
        <f t="shared" si="0"/>
        <v>0</v>
      </c>
      <c r="AV7" s="71">
        <f t="shared" si="1"/>
        <v>0</v>
      </c>
      <c r="AW7" s="72">
        <f t="shared" si="2"/>
        <v>0</v>
      </c>
      <c r="AY7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7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7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7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7" s="134">
        <f>SUM(Table40[[#This Row],[Ascension
Cost]:[Talent Cost
(Burst)]])</f>
        <v>0</v>
      </c>
      <c r="BE7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7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7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7" s="75">
        <f>SUM(Table53[[#This Row],[NA]:[Burst]])</f>
        <v>0</v>
      </c>
    </row>
    <row r="8" spans="1:60" ht="30" customHeight="1" x14ac:dyDescent="0.25">
      <c r="A8" s="76">
        <f>SUBTOTAL(3,$D$3:Character[[#This Row],[NameHelper]])</f>
        <v>6</v>
      </c>
      <c r="B8" s="77" t="e" vm="812">
        <f>IFERROR(INDEX(ImgDatabase!$D:$D, MATCH(Character[[#This Row],[NameHelper]], ImgDatabase!$E:$E, 0)), "")</f>
        <v>#VALUE!</v>
      </c>
      <c r="C8" s="78" t="s">
        <v>508</v>
      </c>
      <c r="D8" s="78" t="s">
        <v>508</v>
      </c>
      <c r="E8" s="53" t="e" vm="50">
        <f>IFERROR(INDEX(ImgDatabase!$G:$G, MATCH(Character[[#This Row],[NameHelper]], ImgDatabase!$E:$E, 0)), "")</f>
        <v>#VALUE!</v>
      </c>
      <c r="F8" s="53" t="e" vm="546">
        <f>IFERROR(INDEX(CharacterDetailsImg[Weapon Type], MATCH(Character[[#This Row],[NameHelper]], CharacterDetailsImg[Name], 0)), "")</f>
        <v>#VALUE!</v>
      </c>
      <c r="G8" s="79">
        <f>IFERROR(INDEX(CharacterDetailsImg[Released Version], MATCH(Character[[#This Row],[NameHelper]], CharacterDetailsImg[Name], 0)), "")</f>
        <v>4.5999999999999996</v>
      </c>
      <c r="H8" s="51">
        <v>90</v>
      </c>
      <c r="I8" s="41">
        <v>10</v>
      </c>
      <c r="J8" s="41">
        <v>10</v>
      </c>
      <c r="K8" s="52">
        <v>8</v>
      </c>
      <c r="M8" s="80">
        <v>81</v>
      </c>
      <c r="N8" s="80">
        <v>1</v>
      </c>
      <c r="O8" s="81">
        <v>9</v>
      </c>
      <c r="P8" s="82">
        <v>9</v>
      </c>
      <c r="R8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8" s="83" t="e" vm="547">
        <f>IF(Character[[#This Row],[Name]]="Traveler","",IFERROR(INDEX(ImgDatabase!$I:$I,MATCH(Character[[#This Row],[NameHelper]],ImgDatabase!$E:$E,0)),""))</f>
        <v>#VALUE!</v>
      </c>
      <c r="U8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8" s="85" t="e" vm="260">
        <f>IF(Character[[#This Row],[Name]]="Traveler","",IFERROR(INDEX(ImgDatabase!$K:$K, MATCH(Character[[#This Row],[NameHelper]], ImgDatabase!$E:$E, 0)), ""))</f>
        <v>#VALUE!</v>
      </c>
      <c r="X8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12</v>
      </c>
      <c r="Y8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8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8" s="85" t="e" vm="548">
        <f>IFERROR(INDEX(ImgDatabase!$J:$J, MATCH(Character[[#This Row],[NameHelper]], ImgDatabase!$E:$E, 0)), "")</f>
        <v>#VALUE!</v>
      </c>
      <c r="AC8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2</v>
      </c>
      <c r="AE8" s="83" t="e" vm="436">
        <f>IFERROR(INDEX(ImgDatabase!$M:$M, MATCH(Character[[#This Row],[NameHelper]], ImgDatabase!$E:$E, 0)), "")</f>
        <v>#VALUE!</v>
      </c>
      <c r="AF8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8" s="83" t="e" vm="56">
        <f>IFERROR(INDEX(ImgDatabase!$N:$N, MATCH(Character[[#This Row],[NameHelper]], ImgDatabase!$E:$E, 0)), "")</f>
        <v>#VALUE!</v>
      </c>
      <c r="AI8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8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8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8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8" s="53" t="e" vm="435">
        <f>IFERROR(INDEX(ImgDatabase!$L:$L, MATCH(Character[[#This Row],[NameHelper]], ImgDatabase!$E:$E, 0)), "")</f>
        <v>#VALUE!</v>
      </c>
      <c r="AO8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8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8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8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9</v>
      </c>
      <c r="AS8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8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8" s="89">
        <f t="shared" si="0"/>
        <v>9</v>
      </c>
      <c r="AV8" s="90">
        <f t="shared" si="1"/>
        <v>0</v>
      </c>
      <c r="AW8" s="91">
        <f t="shared" si="2"/>
        <v>0</v>
      </c>
      <c r="AY8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8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8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8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450000</v>
      </c>
      <c r="BC8" s="131">
        <f>SUM(Table40[[#This Row],[Ascension
Cost]:[Talent Cost
(Burst)]])</f>
        <v>450000</v>
      </c>
      <c r="BE8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8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8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8" s="75">
        <f>SUM(Table53[[#This Row],[NA]:[Burst]])</f>
        <v>0</v>
      </c>
    </row>
    <row r="9" spans="1:60" ht="30" customHeight="1" x14ac:dyDescent="0.25">
      <c r="A9" s="76">
        <f>SUBTOTAL(3,$D$3:Character[[#This Row],[NameHelper]])</f>
        <v>7</v>
      </c>
      <c r="B9" s="77" t="e" vm="813">
        <f>IFERROR(INDEX(ImgDatabase!$D:$D, MATCH(Character[[#This Row],[NameHelper]], ImgDatabase!$E:$E, 0)), "")</f>
        <v>#VALUE!</v>
      </c>
      <c r="C9" s="78" t="s">
        <v>511</v>
      </c>
      <c r="D9" s="78" t="s">
        <v>511</v>
      </c>
      <c r="E9" s="53" t="e" vm="28">
        <f>IFERROR(INDEX(ImgDatabase!$G:$G, MATCH(Character[[#This Row],[NameHelper]], ImgDatabase!$E:$E, 0)), "")</f>
        <v>#VALUE!</v>
      </c>
      <c r="F9" s="53" t="e" vm="552">
        <f>IFERROR(INDEX(CharacterDetailsImg[Weapon Type], MATCH(Character[[#This Row],[NameHelper]], CharacterDetailsImg[Name], 0)), "")</f>
        <v>#VALUE!</v>
      </c>
      <c r="G9" s="79">
        <f>IFERROR(INDEX(CharacterDetailsImg[Released Version], MATCH(Character[[#This Row],[NameHelper]], CharacterDetailsImg[Name], 0)), "")</f>
        <v>3.6</v>
      </c>
      <c r="H9" s="51">
        <v>90</v>
      </c>
      <c r="I9" s="41">
        <v>1</v>
      </c>
      <c r="J9" s="41">
        <v>9</v>
      </c>
      <c r="K9" s="52">
        <v>9</v>
      </c>
      <c r="M9" s="80">
        <v>81</v>
      </c>
      <c r="N9" s="80">
        <v>1</v>
      </c>
      <c r="O9" s="81">
        <v>9</v>
      </c>
      <c r="P9" s="82">
        <v>9</v>
      </c>
      <c r="R9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9" s="83" t="e" vm="225">
        <f>IF(Character[[#This Row],[Name]]="Traveler","",IFERROR(INDEX(ImgDatabase!$I:$I,MATCH(Character[[#This Row],[NameHelper]],ImgDatabase!$E:$E,0)),""))</f>
        <v>#VALUE!</v>
      </c>
      <c r="U9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9" s="85" t="e" vm="338">
        <f>IF(Character[[#This Row],[Name]]="Traveler","",IFERROR(INDEX(ImgDatabase!$K:$K, MATCH(Character[[#This Row],[NameHelper]], ImgDatabase!$E:$E, 0)), ""))</f>
        <v>#VALUE!</v>
      </c>
      <c r="X9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9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9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9" s="92" t="e" vm="328">
        <f>IFERROR(INDEX(ImgDatabase!$J:$J, MATCH(Character[[#This Row],[NameHelper]], ImgDatabase!$E:$E, 0)), "")</f>
        <v>#VALUE!</v>
      </c>
      <c r="AC9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9" s="63" t="e" vm="283">
        <f>IFERROR(INDEX(ImgDatabase!$M:$M, MATCH(Character[[#This Row],[NameHelper]], ImgDatabase!$E:$E, 0)), "")</f>
        <v>#VALUE!</v>
      </c>
      <c r="AF9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9" s="63" t="e" vm="34">
        <f>IFERROR(INDEX(ImgDatabase!$N:$N, MATCH(Character[[#This Row],[NameHelper]], ImgDatabase!$E:$E, 0)), "")</f>
        <v>#VALUE!</v>
      </c>
      <c r="AI9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9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9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9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9" s="64" t="e" vm="272">
        <f>IFERROR(INDEX(ImgDatabase!$L:$L, MATCH(Character[[#This Row],[NameHelper]], ImgDatabase!$E:$E, 0)), "")</f>
        <v>#VALUE!</v>
      </c>
      <c r="AO9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9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9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9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9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9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9" s="70">
        <f t="shared" si="0"/>
        <v>0</v>
      </c>
      <c r="AV9" s="71">
        <f t="shared" si="1"/>
        <v>0</v>
      </c>
      <c r="AW9" s="72">
        <f t="shared" si="2"/>
        <v>0</v>
      </c>
      <c r="AY9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9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9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9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9" s="134">
        <f>SUM(Table40[[#This Row],[Ascension
Cost]:[Talent Cost
(Burst)]])</f>
        <v>0</v>
      </c>
      <c r="BE9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9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9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9" s="75">
        <f>SUM(Table53[[#This Row],[NA]:[Burst]])</f>
        <v>0</v>
      </c>
    </row>
    <row r="10" spans="1:60" ht="30" customHeight="1" x14ac:dyDescent="0.25">
      <c r="A10" s="76">
        <f>SUBTOTAL(3,$D$3:Character[[#This Row],[NameHelper]])</f>
        <v>8</v>
      </c>
      <c r="B10" s="77" t="e" vm="814">
        <f>IFERROR(INDEX(ImgDatabase!$D:$D, MATCH(Character[[#This Row],[NameHelper]], ImgDatabase!$E:$E, 0)), "")</f>
        <v>#VALUE!</v>
      </c>
      <c r="C10" s="78" t="s">
        <v>514</v>
      </c>
      <c r="D10" s="78" t="s">
        <v>514</v>
      </c>
      <c r="E10" s="53" t="e" vm="112">
        <f>IFERROR(INDEX(ImgDatabase!$G:$G, MATCH(Character[[#This Row],[NameHelper]], ImgDatabase!$E:$E, 0)), "")</f>
        <v>#VALUE!</v>
      </c>
      <c r="F10" s="53" t="e" vm="552">
        <f>IFERROR(INDEX(CharacterDetailsImg[Weapon Type], MATCH(Character[[#This Row],[NameHelper]], CharacterDetailsImg[Name], 0)), "")</f>
        <v>#VALUE!</v>
      </c>
      <c r="G10" s="79">
        <f>IFERROR(INDEX(CharacterDetailsImg[Released Version], MATCH(Character[[#This Row],[NameHelper]], CharacterDetailsImg[Name], 0)), "")</f>
        <v>1</v>
      </c>
      <c r="H10" s="51">
        <v>81</v>
      </c>
      <c r="I10" s="41">
        <v>1</v>
      </c>
      <c r="J10" s="41">
        <v>5</v>
      </c>
      <c r="K10" s="52">
        <v>5</v>
      </c>
      <c r="M10" s="80">
        <v>81</v>
      </c>
      <c r="N10" s="80">
        <v>1</v>
      </c>
      <c r="O10" s="81">
        <v>9</v>
      </c>
      <c r="P10" s="82">
        <v>9</v>
      </c>
      <c r="R10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10" s="83" t="e" vm="337">
        <f>IF(Character[[#This Row],[Name]]="Traveler","",IFERROR(INDEX(ImgDatabase!$I:$I,MATCH(Character[[#This Row],[NameHelper]],ImgDatabase!$E:$E,0)),""))</f>
        <v>#VALUE!</v>
      </c>
      <c r="U10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10" s="85" t="e" vm="351">
        <f>IF(Character[[#This Row],[Name]]="Traveler","",IFERROR(INDEX(ImgDatabase!$K:$K, MATCH(Character[[#This Row],[NameHelper]], ImgDatabase!$E:$E, 0)), ""))</f>
        <v>#VALUE!</v>
      </c>
      <c r="X10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10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18</v>
      </c>
      <c r="Z10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10" s="85" t="e" vm="211">
        <f>IFERROR(INDEX(ImgDatabase!$J:$J, MATCH(Character[[#This Row],[NameHelper]], ImgDatabase!$E:$E, 0)), "")</f>
        <v>#VALUE!</v>
      </c>
      <c r="AC10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10" s="83" t="e" vm="556">
        <f>IFERROR(INDEX(ImgDatabase!$M:$M, MATCH(Character[[#This Row],[NameHelper]], ImgDatabase!$E:$E, 0)), "")</f>
        <v>#VALUE!</v>
      </c>
      <c r="AF10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10" s="83" t="e" vm="117">
        <f>IFERROR(INDEX(ImgDatabase!$N:$N, MATCH(Character[[#This Row],[NameHelper]], ImgDatabase!$E:$E, 0)), "")</f>
        <v>#VALUE!</v>
      </c>
      <c r="AI10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10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10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10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10" s="53" t="e" vm="10">
        <f>IFERROR(INDEX(ImgDatabase!$L:$L, MATCH(Character[[#This Row],[NameHelper]], ImgDatabase!$E:$E, 0)), "")</f>
        <v>#VALUE!</v>
      </c>
      <c r="AO10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10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10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10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10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18</v>
      </c>
      <c r="AT10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10" s="89">
        <f t="shared" si="0"/>
        <v>38</v>
      </c>
      <c r="AV10" s="90">
        <f t="shared" si="1"/>
        <v>18</v>
      </c>
      <c r="AW10" s="91">
        <f t="shared" si="2"/>
        <v>0</v>
      </c>
      <c r="AY10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10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10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867500</v>
      </c>
      <c r="BB10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867500</v>
      </c>
      <c r="BC10" s="131">
        <f>SUM(Table40[[#This Row],[Ascension
Cost]:[Talent Cost
(Burst)]])</f>
        <v>1735000</v>
      </c>
      <c r="BE10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10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10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10" s="75">
        <f>SUM(Table53[[#This Row],[NA]:[Burst]])</f>
        <v>0</v>
      </c>
    </row>
    <row r="11" spans="1:60" ht="30" customHeight="1" x14ac:dyDescent="0.25">
      <c r="A11" s="76">
        <f>SUBTOTAL(3,$D$3:Character[[#This Row],[NameHelper]])</f>
        <v>9</v>
      </c>
      <c r="B11" s="77" t="e" vm="815">
        <f>IFERROR(INDEX(ImgDatabase!$D:$D, MATCH(Character[[#This Row],[NameHelper]], ImgDatabase!$E:$E, 0)), "")</f>
        <v>#VALUE!</v>
      </c>
      <c r="C11" s="78" t="s">
        <v>464</v>
      </c>
      <c r="D11" s="78" t="s">
        <v>464</v>
      </c>
      <c r="E11" s="53" t="e" vm="91">
        <f>IFERROR(INDEX(ImgDatabase!$G:$G, MATCH(Character[[#This Row],[NameHelper]], ImgDatabase!$E:$E, 0)), "")</f>
        <v>#VALUE!</v>
      </c>
      <c r="F11" s="53" t="e" vm="479">
        <f>IFERROR(INDEX(CharacterDetailsImg[Weapon Type], MATCH(Character[[#This Row],[NameHelper]], CharacterDetailsImg[Name], 0)), "")</f>
        <v>#VALUE!</v>
      </c>
      <c r="G11" s="79">
        <f>IFERROR(INDEX(CharacterDetailsImg[Released Version], MATCH(Character[[#This Row],[NameHelper]], CharacterDetailsImg[Name], 0)), "")</f>
        <v>1</v>
      </c>
      <c r="H11" s="51">
        <v>51</v>
      </c>
      <c r="I11" s="41">
        <v>1</v>
      </c>
      <c r="J11" s="41">
        <v>1</v>
      </c>
      <c r="K11" s="52">
        <v>1</v>
      </c>
      <c r="M11" s="80">
        <v>81</v>
      </c>
      <c r="N11" s="80">
        <v>1</v>
      </c>
      <c r="O11" s="81">
        <v>9</v>
      </c>
      <c r="P11" s="82">
        <v>9</v>
      </c>
      <c r="R11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189</v>
      </c>
      <c r="T11" s="83" t="e" vm="210">
        <f>IF(Character[[#This Row],[Name]]="Traveler","",IFERROR(INDEX(ImgDatabase!$I:$I,MATCH(Character[[#This Row],[NameHelper]],ImgDatabase!$E:$E,0)),""))</f>
        <v>#VALUE!</v>
      </c>
      <c r="U11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40</v>
      </c>
      <c r="W11" s="85" t="e" vm="338">
        <f>IF(Character[[#This Row],[Name]]="Traveler","",IFERROR(INDEX(ImgDatabase!$K:$K, MATCH(Character[[#This Row],[NameHelper]], ImgDatabase!$E:$E, 0)), ""))</f>
        <v>#VALUE!</v>
      </c>
      <c r="X11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11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11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11" s="92" t="e" vm="292">
        <f>IFERROR(INDEX(ImgDatabase!$J:$J, MATCH(Character[[#This Row],[NameHelper]], ImgDatabase!$E:$E, 0)), "")</f>
        <v>#VALUE!</v>
      </c>
      <c r="AC11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11" s="63" t="e" vm="487">
        <f>IFERROR(INDEX(ImgDatabase!$M:$M, MATCH(Character[[#This Row],[NameHelper]], ImgDatabase!$E:$E, 0)), "")</f>
        <v>#VALUE!</v>
      </c>
      <c r="AF11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135</v>
      </c>
      <c r="AH11" s="63" t="e" vm="97">
        <f>IFERROR(INDEX(ImgDatabase!$N:$N, MATCH(Character[[#This Row],[NameHelper]], ImgDatabase!$E:$E, 0)), "")</f>
        <v>#VALUE!</v>
      </c>
      <c r="AI11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11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11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11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11" s="64" t="e" vm="54">
        <f>IFERROR(INDEX(ImgDatabase!$L:$L, MATCH(Character[[#This Row],[NameHelper]], ImgDatabase!$E:$E, 0)), "")</f>
        <v>#VALUE!</v>
      </c>
      <c r="AO11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11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18</v>
      </c>
      <c r="AQ11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11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11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11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11" s="70">
        <f t="shared" si="0"/>
        <v>74</v>
      </c>
      <c r="AV11" s="71">
        <f t="shared" si="1"/>
        <v>62</v>
      </c>
      <c r="AW11" s="72">
        <f t="shared" si="2"/>
        <v>12</v>
      </c>
      <c r="AY11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1054925</v>
      </c>
      <c r="AZ11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11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11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11" s="134">
        <f>SUM(Table40[[#This Row],[Ascension
Cost]:[Talent Cost
(Burst)]])</f>
        <v>2959925</v>
      </c>
      <c r="BE11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11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11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11" s="75">
        <f>SUM(Table53[[#This Row],[NA]:[Burst]])</f>
        <v>0</v>
      </c>
    </row>
    <row r="12" spans="1:60" ht="30" customHeight="1" x14ac:dyDescent="0.25">
      <c r="A12" s="76">
        <f>SUBTOTAL(3,$D$3:Character[[#This Row],[NameHelper]])</f>
        <v>10</v>
      </c>
      <c r="B12" s="77" t="e" vm="816">
        <f>IFERROR(INDEX(ImgDatabase!$D:$D, MATCH(Character[[#This Row],[NameHelper]], ImgDatabase!$E:$E, 0)), "")</f>
        <v>#VALUE!</v>
      </c>
      <c r="C12" s="78" t="str">
        <f>ImgDatabase!E5</f>
        <v>Bennett</v>
      </c>
      <c r="D12" s="78" t="s">
        <v>108</v>
      </c>
      <c r="E12" s="53" t="e" vm="50">
        <f>IFERROR(INDEX(ImgDatabase!$G:$G, MATCH(Character[[#This Row],[NameHelper]], ImgDatabase!$E:$E, 0)), "")</f>
        <v>#VALUE!</v>
      </c>
      <c r="F12" s="53" t="e" vm="5">
        <f>IFERROR(INDEX(CharacterDetailsImg[Weapon Type], MATCH(Character[[#This Row],[NameHelper]], CharacterDetailsImg[Name], 0)), "")</f>
        <v>#VALUE!</v>
      </c>
      <c r="G12" s="79">
        <f>IFERROR(INDEX(CharacterDetailsImg[Released Version], MATCH(Character[[#This Row],[NameHelper]], CharacterDetailsImg[Name], 0)), "")</f>
        <v>1</v>
      </c>
      <c r="H12" s="51">
        <v>90</v>
      </c>
      <c r="I12" s="41">
        <v>1</v>
      </c>
      <c r="J12" s="41">
        <v>7</v>
      </c>
      <c r="K12" s="52">
        <v>10</v>
      </c>
      <c r="M12" s="80">
        <v>81</v>
      </c>
      <c r="N12" s="80">
        <v>1</v>
      </c>
      <c r="O12" s="81">
        <v>9</v>
      </c>
      <c r="P12" s="82">
        <v>9</v>
      </c>
      <c r="R12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12" s="83" t="e" vm="51">
        <f>IF(Character[[#This Row],[Name]]="Traveler","",IFERROR(INDEX(ImgDatabase!$I:$I,MATCH(Character[[#This Row],[NameHelper]],ImgDatabase!$E:$E,0)),""))</f>
        <v>#VALUE!</v>
      </c>
      <c r="U12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12" s="85" t="e" vm="53">
        <f>IF(Character[[#This Row],[Name]]="Traveler","",IFERROR(INDEX(ImgDatabase!$K:$K, MATCH(Character[[#This Row],[NameHelper]], ImgDatabase!$E:$E, 0)), ""))</f>
        <v>#VALUE!</v>
      </c>
      <c r="X12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18</v>
      </c>
      <c r="Y12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12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12" s="85" t="e" vm="52">
        <f>IFERROR(INDEX(ImgDatabase!$J:$J, MATCH(Character[[#This Row],[NameHelper]], ImgDatabase!$E:$E, 0)), "")</f>
        <v>#VALUE!</v>
      </c>
      <c r="AC12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3</v>
      </c>
      <c r="AE12" s="83" t="e" vm="55">
        <f>IFERROR(INDEX(ImgDatabase!$M:$M, MATCH(Character[[#This Row],[NameHelper]], ImgDatabase!$E:$E, 0)), "")</f>
        <v>#VALUE!</v>
      </c>
      <c r="AF12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12" s="83" t="e" vm="56">
        <f>IFERROR(INDEX(ImgDatabase!$N:$N, MATCH(Character[[#This Row],[NameHelper]], ImgDatabase!$E:$E, 0)), "")</f>
        <v>#VALUE!</v>
      </c>
      <c r="AI12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12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12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12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12" s="53" t="e" vm="54">
        <f>IFERROR(INDEX(ImgDatabase!$L:$L, MATCH(Character[[#This Row],[NameHelper]], ImgDatabase!$E:$E, 0)), "")</f>
        <v>#VALUE!</v>
      </c>
      <c r="AO12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12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12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12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15</v>
      </c>
      <c r="AS12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12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12" s="89">
        <f t="shared" si="0"/>
        <v>15</v>
      </c>
      <c r="AV12" s="90">
        <f t="shared" si="1"/>
        <v>0</v>
      </c>
      <c r="AW12" s="91">
        <f t="shared" si="2"/>
        <v>0</v>
      </c>
      <c r="AY12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12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12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710000</v>
      </c>
      <c r="BB12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12" s="131">
        <f>SUM(Table40[[#This Row],[Ascension
Cost]:[Talent Cost
(Burst)]])</f>
        <v>710000</v>
      </c>
      <c r="BE12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12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12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12" s="75">
        <f>SUM(Table53[[#This Row],[NA]:[Burst]])</f>
        <v>0</v>
      </c>
    </row>
    <row r="13" spans="1:60" ht="30" customHeight="1" x14ac:dyDescent="0.25">
      <c r="A13" s="76">
        <f>SUBTOTAL(3,$D$3:Character[[#This Row],[NameHelper]])</f>
        <v>11</v>
      </c>
      <c r="B13" s="77" t="e" vm="817">
        <f>IFERROR(INDEX(ImgDatabase!$D:$D, MATCH(Character[[#This Row],[NameHelper]], ImgDatabase!$E:$E, 0)), "")</f>
        <v>#VALUE!</v>
      </c>
      <c r="C13" s="78" t="s">
        <v>547</v>
      </c>
      <c r="D13" s="78" t="s">
        <v>547</v>
      </c>
      <c r="E13" s="53" t="e" vm="112">
        <f>IFERROR(INDEX(ImgDatabase!$G:$G, MATCH(Character[[#This Row],[NameHelper]], ImgDatabase!$E:$E, 0)), "")</f>
        <v>#VALUE!</v>
      </c>
      <c r="F13" s="53" t="e" vm="546">
        <f>IFERROR(INDEX(CharacterDetailsImg[Weapon Type], MATCH(Character[[#This Row],[NameHelper]], CharacterDetailsImg[Name], 0)), "")</f>
        <v>#VALUE!</v>
      </c>
      <c r="G13" s="79">
        <f>IFERROR(INDEX(CharacterDetailsImg[Released Version], MATCH(Character[[#This Row],[NameHelper]], CharacterDetailsImg[Name], 0)), "")</f>
        <v>3.1</v>
      </c>
      <c r="H13" s="51">
        <v>21</v>
      </c>
      <c r="I13" s="41">
        <v>1</v>
      </c>
      <c r="J13" s="41">
        <v>1</v>
      </c>
      <c r="K13" s="52">
        <v>1</v>
      </c>
      <c r="M13" s="80">
        <v>81</v>
      </c>
      <c r="N13" s="80">
        <v>1</v>
      </c>
      <c r="O13" s="81">
        <v>9</v>
      </c>
      <c r="P13" s="82">
        <v>9</v>
      </c>
      <c r="R13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250</v>
      </c>
      <c r="T13" s="83" t="e" vm="389">
        <f>IF(Character[[#This Row],[Name]]="Traveler","",IFERROR(INDEX(ImgDatabase!$I:$I,MATCH(Character[[#This Row],[NameHelper]],ImgDatabase!$E:$E,0)),""))</f>
        <v>#VALUE!</v>
      </c>
      <c r="U13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13" s="85" t="e" vm="391">
        <f>IF(Character[[#This Row],[Name]]="Traveler","",IFERROR(INDEX(ImgDatabase!$K:$K, MATCH(Character[[#This Row],[NameHelper]], ImgDatabase!$E:$E, 0)), ""))</f>
        <v>#VALUE!</v>
      </c>
      <c r="X13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13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13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13" s="92" t="e" vm="240">
        <f>IFERROR(INDEX(ImgDatabase!$J:$J, MATCH(Character[[#This Row],[NameHelper]], ImgDatabase!$E:$E, 0)), "")</f>
        <v>#VALUE!</v>
      </c>
      <c r="AC13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13" s="63" t="e" vm="76">
        <f>IFERROR(INDEX(ImgDatabase!$M:$M, MATCH(Character[[#This Row],[NameHelper]], ImgDatabase!$E:$E, 0)), "")</f>
        <v>#VALUE!</v>
      </c>
      <c r="AF13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13" s="63" t="e" vm="117">
        <f>IFERROR(INDEX(ImgDatabase!$N:$N, MATCH(Character[[#This Row],[NameHelper]], ImgDatabase!$E:$E, 0)), "")</f>
        <v>#VALUE!</v>
      </c>
      <c r="AI13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13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13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13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13" s="64" t="e" vm="32">
        <f>IFERROR(INDEX(ImgDatabase!$L:$L, MATCH(Character[[#This Row],[NameHelper]], ImgDatabase!$E:$E, 0)), "")</f>
        <v>#VALUE!</v>
      </c>
      <c r="AO13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13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13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13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13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13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13" s="70">
        <f t="shared" si="0"/>
        <v>74</v>
      </c>
      <c r="AV13" s="71">
        <f t="shared" si="1"/>
        <v>74</v>
      </c>
      <c r="AW13" s="72">
        <f t="shared" si="2"/>
        <v>27</v>
      </c>
      <c r="AY13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1397530</v>
      </c>
      <c r="AZ13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13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13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13" s="134">
        <f>SUM(Table40[[#This Row],[Ascension
Cost]:[Talent Cost
(Burst)]])</f>
        <v>3302530</v>
      </c>
      <c r="BE13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13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13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13" s="75">
        <f>SUM(Table53[[#This Row],[NA]:[Burst]])</f>
        <v>0</v>
      </c>
    </row>
    <row r="14" spans="1:60" ht="30" customHeight="1" x14ac:dyDescent="0.25">
      <c r="A14" s="76">
        <f>SUBTOTAL(3,$D$3:Character[[#This Row],[NameHelper]])</f>
        <v>12</v>
      </c>
      <c r="B14" s="77" t="e" vm="818">
        <f>IFERROR(INDEX(ImgDatabase!$D:$D, MATCH(Character[[#This Row],[NameHelper]], ImgDatabase!$E:$E, 0)), "")</f>
        <v>#VALUE!</v>
      </c>
      <c r="C14" s="78" t="s">
        <v>517</v>
      </c>
      <c r="D14" s="78" t="s">
        <v>517</v>
      </c>
      <c r="E14" s="53" t="e" vm="165">
        <f>IFERROR(INDEX(ImgDatabase!$G:$G, MATCH(Character[[#This Row],[NameHelper]], ImgDatabase!$E:$E, 0)), "")</f>
        <v>#VALUE!</v>
      </c>
      <c r="F14" s="53" t="e" vm="552">
        <f>IFERROR(INDEX(CharacterDetailsImg[Weapon Type], MATCH(Character[[#This Row],[NameHelper]], CharacterDetailsImg[Name], 0)), "")</f>
        <v>#VALUE!</v>
      </c>
      <c r="G14" s="79">
        <f>IFERROR(INDEX(CharacterDetailsImg[Released Version], MATCH(Character[[#This Row],[NameHelper]], CharacterDetailsImg[Name], 0)), "")</f>
        <v>4.2</v>
      </c>
      <c r="H14" s="51">
        <v>81</v>
      </c>
      <c r="I14" s="41">
        <v>1</v>
      </c>
      <c r="J14" s="41">
        <v>6</v>
      </c>
      <c r="K14" s="52">
        <v>7</v>
      </c>
      <c r="M14" s="80">
        <v>81</v>
      </c>
      <c r="N14" s="80">
        <v>1</v>
      </c>
      <c r="O14" s="81">
        <v>9</v>
      </c>
      <c r="P14" s="82">
        <v>9</v>
      </c>
      <c r="R14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14" s="83" t="e" vm="560">
        <f>IF(Character[[#This Row],[Name]]="Traveler","",IFERROR(INDEX(ImgDatabase!$I:$I,MATCH(Character[[#This Row],[NameHelper]],ImgDatabase!$E:$E,0)),""))</f>
        <v>#VALUE!</v>
      </c>
      <c r="U14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14" s="85" t="e" vm="94">
        <f>IF(Character[[#This Row],[Name]]="Traveler","",IFERROR(INDEX(ImgDatabase!$K:$K, MATCH(Character[[#This Row],[NameHelper]], ImgDatabase!$E:$E, 0)), ""))</f>
        <v>#VALUE!</v>
      </c>
      <c r="X14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40</v>
      </c>
      <c r="Y14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14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14" s="85" t="e" vm="73">
        <f>IFERROR(INDEX(ImgDatabase!$J:$J, MATCH(Character[[#This Row],[NameHelper]], ImgDatabase!$E:$E, 0)), "")</f>
        <v>#VALUE!</v>
      </c>
      <c r="AC14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7</v>
      </c>
      <c r="AE14" s="83" t="e" vm="561">
        <f>IFERROR(INDEX(ImgDatabase!$M:$M, MATCH(Character[[#This Row],[NameHelper]], ImgDatabase!$E:$E, 0)), "")</f>
        <v>#VALUE!</v>
      </c>
      <c r="AF14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14" s="83" t="e" vm="169">
        <f>IFERROR(INDEX(ImgDatabase!$N:$N, MATCH(Character[[#This Row],[NameHelper]], ImgDatabase!$E:$E, 0)), "")</f>
        <v>#VALUE!</v>
      </c>
      <c r="AI14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14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14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14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14" s="53" t="e" vm="261">
        <f>IFERROR(INDEX(ImgDatabase!$L:$L, MATCH(Character[[#This Row],[NameHelper]], ImgDatabase!$E:$E, 0)), "")</f>
        <v>#VALUE!</v>
      </c>
      <c r="AO14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14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14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14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34</v>
      </c>
      <c r="AS14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14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14" s="89">
        <f t="shared" si="0"/>
        <v>34</v>
      </c>
      <c r="AV14" s="90">
        <f t="shared" si="1"/>
        <v>0</v>
      </c>
      <c r="AW14" s="91">
        <f t="shared" si="2"/>
        <v>0</v>
      </c>
      <c r="AY14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14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14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830000</v>
      </c>
      <c r="BB14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710000</v>
      </c>
      <c r="BC14" s="131">
        <f>SUM(Table40[[#This Row],[Ascension
Cost]:[Talent Cost
(Burst)]])</f>
        <v>1540000</v>
      </c>
      <c r="BE14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14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14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14" s="75">
        <f>SUM(Table53[[#This Row],[NA]:[Burst]])</f>
        <v>0</v>
      </c>
    </row>
    <row r="15" spans="1:60" ht="30" customHeight="1" x14ac:dyDescent="0.25">
      <c r="A15" s="76">
        <f>SUBTOTAL(3,$D$3:Character[[#This Row],[NameHelper]])</f>
        <v>13</v>
      </c>
      <c r="B15" s="77" t="e" vm="819">
        <f>IFERROR(INDEX(ImgDatabase!$D:$D, MATCH(Character[[#This Row],[NameHelper]], ImgDatabase!$E:$E, 0)), "")</f>
        <v>#VALUE!</v>
      </c>
      <c r="C15" s="78" t="s">
        <v>549</v>
      </c>
      <c r="D15" s="78" t="s">
        <v>549</v>
      </c>
      <c r="E15" s="53" t="e" vm="50">
        <f>IFERROR(INDEX(ImgDatabase!$G:$G, MATCH(Character[[#This Row],[NameHelper]], ImgDatabase!$E:$E, 0)), "")</f>
        <v>#VALUE!</v>
      </c>
      <c r="F15" s="53" t="e" vm="546">
        <f>IFERROR(INDEX(CharacterDetailsImg[Weapon Type], MATCH(Character[[#This Row],[NameHelper]], CharacterDetailsImg[Name], 0)), "")</f>
        <v>#VALUE!</v>
      </c>
      <c r="G15" s="79">
        <f>IFERROR(INDEX(CharacterDetailsImg[Released Version], MATCH(Character[[#This Row],[NameHelper]], CharacterDetailsImg[Name], 0)), "")</f>
        <v>4.3</v>
      </c>
      <c r="H15" s="51">
        <v>0</v>
      </c>
      <c r="I15" s="41">
        <v>0</v>
      </c>
      <c r="J15" s="41">
        <v>0</v>
      </c>
      <c r="K15" s="52">
        <v>0</v>
      </c>
      <c r="M15" s="80">
        <v>81</v>
      </c>
      <c r="N15" s="80">
        <v>1</v>
      </c>
      <c r="O15" s="81">
        <v>9</v>
      </c>
      <c r="P15" s="82">
        <v>9</v>
      </c>
      <c r="R15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15" s="83" t="e" vm="92">
        <f>IF(Character[[#This Row],[Name]]="Traveler","",IFERROR(INDEX(ImgDatabase!$I:$I,MATCH(Character[[#This Row],[NameHelper]],ImgDatabase!$E:$E,0)),""))</f>
        <v>#VALUE!</v>
      </c>
      <c r="U15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15" s="85" t="e" vm="260">
        <f>IF(Character[[#This Row],[Name]]="Traveler","",IFERROR(INDEX(ImgDatabase!$K:$K, MATCH(Character[[#This Row],[NameHelper]], ImgDatabase!$E:$E, 0)), ""))</f>
        <v>#VALUE!</v>
      </c>
      <c r="X15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15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15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15" s="92" t="e" vm="591">
        <f>IFERROR(INDEX(ImgDatabase!$J:$J, MATCH(Character[[#This Row],[NameHelper]], ImgDatabase!$E:$E, 0)), "")</f>
        <v>#VALUE!</v>
      </c>
      <c r="AC15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15" s="63" t="e" vm="262">
        <f>IFERROR(INDEX(ImgDatabase!$M:$M, MATCH(Character[[#This Row],[NameHelper]], ImgDatabase!$E:$E, 0)), "")</f>
        <v>#VALUE!</v>
      </c>
      <c r="AF15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15" s="63" t="e" vm="56">
        <f>IFERROR(INDEX(ImgDatabase!$N:$N, MATCH(Character[[#This Row],[NameHelper]], ImgDatabase!$E:$E, 0)), "")</f>
        <v>#VALUE!</v>
      </c>
      <c r="AI15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15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15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15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15" s="64" t="e" vm="261">
        <f>IFERROR(INDEX(ImgDatabase!$L:$L, MATCH(Character[[#This Row],[NameHelper]], ImgDatabase!$E:$E, 0)), "")</f>
        <v>#VALUE!</v>
      </c>
      <c r="AO15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15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15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15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15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15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15" s="70">
        <f t="shared" si="0"/>
        <v>0</v>
      </c>
      <c r="AV15" s="71">
        <f t="shared" si="1"/>
        <v>0</v>
      </c>
      <c r="AW15" s="72">
        <f t="shared" si="2"/>
        <v>0</v>
      </c>
      <c r="AY15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15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15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15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15" s="134">
        <f>SUM(Table40[[#This Row],[Ascension
Cost]:[Talent Cost
(Burst)]])</f>
        <v>0</v>
      </c>
      <c r="BE15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15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15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15" s="75">
        <f>SUM(Table53[[#This Row],[NA]:[Burst]])</f>
        <v>0</v>
      </c>
    </row>
    <row r="16" spans="1:60" ht="30" customHeight="1" x14ac:dyDescent="0.25">
      <c r="A16" s="76">
        <f>SUBTOTAL(3,$D$3:Character[[#This Row],[NameHelper]])</f>
        <v>14</v>
      </c>
      <c r="B16" s="77" t="e" vm="820">
        <f>IFERROR(INDEX(ImgDatabase!$D:$D, MATCH(Character[[#This Row],[NameHelper]], ImgDatabase!$E:$E, 0)), "")</f>
        <v>#VALUE!</v>
      </c>
      <c r="C16" s="78" t="s">
        <v>121</v>
      </c>
      <c r="D16" s="78" t="s">
        <v>121</v>
      </c>
      <c r="E16" s="53" t="e" vm="6">
        <f>IFERROR(INDEX(ImgDatabase!$G:$G, MATCH(Character[[#This Row],[NameHelper]], ImgDatabase!$E:$E, 0)), "")</f>
        <v>#VALUE!</v>
      </c>
      <c r="F16" s="53" t="e" vm="5">
        <f>IFERROR(INDEX(CharacterDetailsImg[Weapon Type], MATCH(Character[[#This Row],[NameHelper]], CharacterDetailsImg[Name], 0)), "")</f>
        <v>#VALUE!</v>
      </c>
      <c r="G16" s="79">
        <f>IFERROR(INDEX(CharacterDetailsImg[Released Version], MATCH(Character[[#This Row],[NameHelper]], CharacterDetailsImg[Name], 0)), "")</f>
        <v>4.5</v>
      </c>
      <c r="H16" s="51">
        <v>0</v>
      </c>
      <c r="I16" s="41">
        <v>0</v>
      </c>
      <c r="J16" s="41">
        <v>0</v>
      </c>
      <c r="K16" s="52">
        <v>0</v>
      </c>
      <c r="M16" s="80">
        <v>81</v>
      </c>
      <c r="N16" s="80">
        <v>1</v>
      </c>
      <c r="O16" s="81">
        <v>9</v>
      </c>
      <c r="P16" s="82">
        <v>9</v>
      </c>
      <c r="R16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16" s="83" t="e" vm="72">
        <f>IF(Character[[#This Row],[Name]]="Traveler","",IFERROR(INDEX(ImgDatabase!$I:$I,MATCH(Character[[#This Row],[NameHelper]],ImgDatabase!$E:$E,0)),""))</f>
        <v>#VALUE!</v>
      </c>
      <c r="U16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16" s="85" t="e" vm="74">
        <f>IF(Character[[#This Row],[Name]]="Traveler","",IFERROR(INDEX(ImgDatabase!$K:$K, MATCH(Character[[#This Row],[NameHelper]], ImgDatabase!$E:$E, 0)), ""))</f>
        <v>#VALUE!</v>
      </c>
      <c r="X16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16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16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16" s="85" t="e" vm="73">
        <f>IFERROR(INDEX(ImgDatabase!$J:$J, MATCH(Character[[#This Row],[NameHelper]], ImgDatabase!$E:$E, 0)), "")</f>
        <v>#VALUE!</v>
      </c>
      <c r="AC16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16" s="83" t="e" vm="76">
        <f>IFERROR(INDEX(ImgDatabase!$M:$M, MATCH(Character[[#This Row],[NameHelper]], ImgDatabase!$E:$E, 0)), "")</f>
        <v>#VALUE!</v>
      </c>
      <c r="AF16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16" s="83" t="e" vm="12">
        <f>IFERROR(INDEX(ImgDatabase!$N:$N, MATCH(Character[[#This Row],[NameHelper]], ImgDatabase!$E:$E, 0)), "")</f>
        <v>#VALUE!</v>
      </c>
      <c r="AI16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16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16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16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16" s="53" t="e" vm="75">
        <f>IFERROR(INDEX(ImgDatabase!$L:$L, MATCH(Character[[#This Row],[NameHelper]], ImgDatabase!$E:$E, 0)), "")</f>
        <v>#VALUE!</v>
      </c>
      <c r="AO16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16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16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16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16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16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16" s="89">
        <f t="shared" si="0"/>
        <v>0</v>
      </c>
      <c r="AV16" s="90">
        <f t="shared" si="1"/>
        <v>0</v>
      </c>
      <c r="AW16" s="91">
        <f t="shared" si="2"/>
        <v>0</v>
      </c>
      <c r="AY16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16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16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16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16" s="131">
        <f>SUM(Table40[[#This Row],[Ascension
Cost]:[Talent Cost
(Burst)]])</f>
        <v>0</v>
      </c>
      <c r="BE16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16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16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16" s="75">
        <f>SUM(Table53[[#This Row],[NA]:[Burst]])</f>
        <v>0</v>
      </c>
    </row>
    <row r="17" spans="1:60" ht="30" customHeight="1" x14ac:dyDescent="0.25">
      <c r="A17" s="76">
        <f>SUBTOTAL(3,$D$3:Character[[#This Row],[NameHelper]])</f>
        <v>15</v>
      </c>
      <c r="B17" s="77" t="e" vm="821">
        <f>IFERROR(INDEX(ImgDatabase!$D:$D, MATCH(Character[[#This Row],[NameHelper]], ImgDatabase!$E:$E, 0)), "")</f>
        <v>#VALUE!</v>
      </c>
      <c r="C17" s="78" t="s">
        <v>468</v>
      </c>
      <c r="D17" s="78" t="s">
        <v>468</v>
      </c>
      <c r="E17" s="53" t="e" vm="165">
        <f>IFERROR(INDEX(ImgDatabase!$G:$G, MATCH(Character[[#This Row],[NameHelper]], ImgDatabase!$E:$E, 0)), "")</f>
        <v>#VALUE!</v>
      </c>
      <c r="F17" s="53" t="e" vm="479">
        <f>IFERROR(INDEX(CharacterDetailsImg[Weapon Type], MATCH(Character[[#This Row],[NameHelper]], CharacterDetailsImg[Name], 0)), "")</f>
        <v>#VALUE!</v>
      </c>
      <c r="G17" s="79">
        <f>IFERROR(INDEX(CharacterDetailsImg[Released Version], MATCH(Character[[#This Row],[NameHelper]], CharacterDetailsImg[Name], 0)), "")</f>
        <v>1</v>
      </c>
      <c r="H17" s="51">
        <v>21</v>
      </c>
      <c r="I17" s="41">
        <v>1</v>
      </c>
      <c r="J17" s="41">
        <v>1</v>
      </c>
      <c r="K17" s="52">
        <v>1</v>
      </c>
      <c r="M17" s="80">
        <v>81</v>
      </c>
      <c r="N17" s="80">
        <v>1</v>
      </c>
      <c r="O17" s="81">
        <v>9</v>
      </c>
      <c r="P17" s="82">
        <v>9</v>
      </c>
      <c r="R17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250</v>
      </c>
      <c r="T17" s="83" t="e" vm="166">
        <f>IF(Character[[#This Row],[Name]]="Traveler","",IFERROR(INDEX(ImgDatabase!$I:$I,MATCH(Character[[#This Row],[NameHelper]],ImgDatabase!$E:$E,0)),""))</f>
        <v>#VALUE!</v>
      </c>
      <c r="U17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17" s="85" t="e" vm="151">
        <f>IF(Character[[#This Row],[Name]]="Traveler","",IFERROR(INDEX(ImgDatabase!$K:$K, MATCH(Character[[#This Row],[NameHelper]], ImgDatabase!$E:$E, 0)), ""))</f>
        <v>#VALUE!</v>
      </c>
      <c r="X17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17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17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17" s="92" t="e" vm="292">
        <f>IFERROR(INDEX(ImgDatabase!$J:$J, MATCH(Character[[#This Row],[NameHelper]], ImgDatabase!$E:$E, 0)), "")</f>
        <v>#VALUE!</v>
      </c>
      <c r="AC17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17" s="63" t="e" vm="213">
        <f>IFERROR(INDEX(ImgDatabase!$M:$M, MATCH(Character[[#This Row],[NameHelper]], ImgDatabase!$E:$E, 0)), "")</f>
        <v>#VALUE!</v>
      </c>
      <c r="AF17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17" s="63" t="e" vm="169">
        <f>IFERROR(INDEX(ImgDatabase!$N:$N, MATCH(Character[[#This Row],[NameHelper]], ImgDatabase!$E:$E, 0)), "")</f>
        <v>#VALUE!</v>
      </c>
      <c r="AI17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17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17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17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17" s="64" t="e" vm="133">
        <f>IFERROR(INDEX(ImgDatabase!$L:$L, MATCH(Character[[#This Row],[NameHelper]], ImgDatabase!$E:$E, 0)), "")</f>
        <v>#VALUE!</v>
      </c>
      <c r="AO17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17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17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17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17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17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17" s="70">
        <f t="shared" si="0"/>
        <v>74</v>
      </c>
      <c r="AV17" s="71">
        <f t="shared" si="1"/>
        <v>74</v>
      </c>
      <c r="AW17" s="72">
        <f t="shared" si="2"/>
        <v>27</v>
      </c>
      <c r="AY17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1397530</v>
      </c>
      <c r="AZ17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17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17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17" s="134">
        <f>SUM(Table40[[#This Row],[Ascension
Cost]:[Talent Cost
(Burst)]])</f>
        <v>3302530</v>
      </c>
      <c r="BE17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17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17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17" s="75">
        <f>SUM(Table53[[#This Row],[NA]:[Burst]])</f>
        <v>0</v>
      </c>
    </row>
    <row r="18" spans="1:60" ht="30" customHeight="1" x14ac:dyDescent="0.25">
      <c r="A18" s="76">
        <f>SUBTOTAL(3,$D$3:Character[[#This Row],[NameHelper]])</f>
        <v>16</v>
      </c>
      <c r="B18" s="77" t="e" vm="822">
        <f>IFERROR(INDEX(ImgDatabase!$D:$D, MATCH(Character[[#This Row],[NameHelper]], ImgDatabase!$E:$E, 0)), "")</f>
        <v>#VALUE!</v>
      </c>
      <c r="C18" s="78" t="s">
        <v>135</v>
      </c>
      <c r="D18" s="78" t="s">
        <v>135</v>
      </c>
      <c r="E18" s="53" t="e" vm="91">
        <f>IFERROR(INDEX(ImgDatabase!$G:$G, MATCH(Character[[#This Row],[NameHelper]], ImgDatabase!$E:$E, 0)), "")</f>
        <v>#VALUE!</v>
      </c>
      <c r="F18" s="53" t="e" vm="5">
        <f>IFERROR(INDEX(CharacterDetailsImg[Weapon Type], MATCH(Character[[#This Row],[NameHelper]], CharacterDetailsImg[Name], 0)), "")</f>
        <v>#VALUE!</v>
      </c>
      <c r="G18" s="79">
        <f>IFERROR(INDEX(CharacterDetailsImg[Released Version], MATCH(Character[[#This Row],[NameHelper]], CharacterDetailsImg[Name], 0)), "")</f>
        <v>4.8</v>
      </c>
      <c r="H18" s="51">
        <v>0</v>
      </c>
      <c r="I18" s="41">
        <v>0</v>
      </c>
      <c r="J18" s="41">
        <v>0</v>
      </c>
      <c r="K18" s="52">
        <v>0</v>
      </c>
      <c r="M18" s="80">
        <v>81</v>
      </c>
      <c r="N18" s="80">
        <v>1</v>
      </c>
      <c r="O18" s="81">
        <v>9</v>
      </c>
      <c r="P18" s="82">
        <v>9</v>
      </c>
      <c r="R18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18" s="83" t="e" vm="92">
        <f>IF(Character[[#This Row],[Name]]="Traveler","",IFERROR(INDEX(ImgDatabase!$I:$I,MATCH(Character[[#This Row],[NameHelper]],ImgDatabase!$E:$E,0)),""))</f>
        <v>#VALUE!</v>
      </c>
      <c r="U18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18" s="85" t="e" vm="94">
        <f>IF(Character[[#This Row],[Name]]="Traveler","",IFERROR(INDEX(ImgDatabase!$K:$K, MATCH(Character[[#This Row],[NameHelper]], ImgDatabase!$E:$E, 0)), ""))</f>
        <v>#VALUE!</v>
      </c>
      <c r="X18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18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18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18" s="85" t="e" vm="93">
        <f>IFERROR(INDEX(ImgDatabase!$J:$J, MATCH(Character[[#This Row],[NameHelper]], ImgDatabase!$E:$E, 0)), "")</f>
        <v>#VALUE!</v>
      </c>
      <c r="AC18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18" s="83" t="e" vm="96">
        <f>IFERROR(INDEX(ImgDatabase!$M:$M, MATCH(Character[[#This Row],[NameHelper]], ImgDatabase!$E:$E, 0)), "")</f>
        <v>#VALUE!</v>
      </c>
      <c r="AF18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18" s="83" t="e" vm="97">
        <f>IFERROR(INDEX(ImgDatabase!$N:$N, MATCH(Character[[#This Row],[NameHelper]], ImgDatabase!$E:$E, 0)), "")</f>
        <v>#VALUE!</v>
      </c>
      <c r="AI18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18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18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18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18" s="53" t="e" vm="95">
        <f>IFERROR(INDEX(ImgDatabase!$L:$L, MATCH(Character[[#This Row],[NameHelper]], ImgDatabase!$E:$E, 0)), "")</f>
        <v>#VALUE!</v>
      </c>
      <c r="AO18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18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18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18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18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18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18" s="89">
        <f t="shared" si="0"/>
        <v>0</v>
      </c>
      <c r="AV18" s="90">
        <f t="shared" si="1"/>
        <v>0</v>
      </c>
      <c r="AW18" s="91">
        <f t="shared" si="2"/>
        <v>0</v>
      </c>
      <c r="AY18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18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18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18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18" s="131">
        <f>SUM(Table40[[#This Row],[Ascension
Cost]:[Talent Cost
(Burst)]])</f>
        <v>0</v>
      </c>
      <c r="BE18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18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18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18" s="75">
        <f>SUM(Table53[[#This Row],[NA]:[Burst]])</f>
        <v>0</v>
      </c>
    </row>
    <row r="19" spans="1:60" ht="30" customHeight="1" x14ac:dyDescent="0.25">
      <c r="A19" s="76">
        <f>SUBTOTAL(3,$D$3:Character[[#This Row],[NameHelper]])</f>
        <v>17</v>
      </c>
      <c r="B19" s="77" t="e" vm="823">
        <f>IFERROR(INDEX(ImgDatabase!$D:$D, MATCH(Character[[#This Row],[NameHelper]], ImgDatabase!$E:$E, 0)), "")</f>
        <v>#VALUE!</v>
      </c>
      <c r="C19" s="78" t="s">
        <v>371</v>
      </c>
      <c r="D19" s="78" t="s">
        <v>371</v>
      </c>
      <c r="E19" s="53" t="e" vm="28">
        <f>IFERROR(INDEX(ImgDatabase!$G:$G, MATCH(Character[[#This Row],[NameHelper]], ImgDatabase!$E:$E, 0)), "")</f>
        <v>#VALUE!</v>
      </c>
      <c r="F19" s="53" t="e" vm="348">
        <f>IFERROR(INDEX(CharacterDetailsImg[Weapon Type], MATCH(Character[[#This Row],[NameHelper]], CharacterDetailsImg[Name], 0)), "")</f>
        <v>#VALUE!</v>
      </c>
      <c r="G19" s="79">
        <f>IFERROR(INDEX(CharacterDetailsImg[Released Version], MATCH(Character[[#This Row],[NameHelper]], CharacterDetailsImg[Name], 0)), "")</f>
        <v>3</v>
      </c>
      <c r="H19" s="51">
        <v>22</v>
      </c>
      <c r="I19" s="41">
        <v>1</v>
      </c>
      <c r="J19" s="41">
        <v>1</v>
      </c>
      <c r="K19" s="52">
        <v>1</v>
      </c>
      <c r="M19" s="80">
        <v>81</v>
      </c>
      <c r="N19" s="80">
        <v>1</v>
      </c>
      <c r="O19" s="81">
        <v>9</v>
      </c>
      <c r="P19" s="82">
        <v>9</v>
      </c>
      <c r="R19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249</v>
      </c>
      <c r="T19" s="83" t="e" vm="370">
        <f>IF(Character[[#This Row],[Name]]="Traveler","",IFERROR(INDEX(ImgDatabase!$I:$I,MATCH(Character[[#This Row],[NameHelper]],ImgDatabase!$E:$E,0)),""))</f>
        <v>#VALUE!</v>
      </c>
      <c r="U19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19" s="85" t="e" vm="271">
        <f>IF(Character[[#This Row],[Name]]="Traveler","",IFERROR(INDEX(ImgDatabase!$K:$K, MATCH(Character[[#This Row],[NameHelper]], ImgDatabase!$E:$E, 0)), ""))</f>
        <v>#VALUE!</v>
      </c>
      <c r="X19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19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19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19" s="92" t="e" vm="240">
        <f>IFERROR(INDEX(ImgDatabase!$J:$J, MATCH(Character[[#This Row],[NameHelper]], ImgDatabase!$E:$E, 0)), "")</f>
        <v>#VALUE!</v>
      </c>
      <c r="AC19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19" s="63" t="e" vm="371">
        <f>IFERROR(INDEX(ImgDatabase!$M:$M, MATCH(Character[[#This Row],[NameHelper]], ImgDatabase!$E:$E, 0)), "")</f>
        <v>#VALUE!</v>
      </c>
      <c r="AF19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19" s="63" t="e" vm="34">
        <f>IFERROR(INDEX(ImgDatabase!$N:$N, MATCH(Character[[#This Row],[NameHelper]], ImgDatabase!$E:$E, 0)), "")</f>
        <v>#VALUE!</v>
      </c>
      <c r="AI19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19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19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19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19" s="64" t="e" vm="302">
        <f>IFERROR(INDEX(ImgDatabase!$L:$L, MATCH(Character[[#This Row],[NameHelper]], ImgDatabase!$E:$E, 0)), "")</f>
        <v>#VALUE!</v>
      </c>
      <c r="AO19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19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19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19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19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19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19" s="70">
        <f t="shared" si="0"/>
        <v>74</v>
      </c>
      <c r="AV19" s="71">
        <f t="shared" si="1"/>
        <v>74</v>
      </c>
      <c r="AW19" s="72">
        <f t="shared" si="2"/>
        <v>27</v>
      </c>
      <c r="AY19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1394170</v>
      </c>
      <c r="AZ19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19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19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19" s="134">
        <f>SUM(Table40[[#This Row],[Ascension
Cost]:[Talent Cost
(Burst)]])</f>
        <v>3299170</v>
      </c>
      <c r="BE19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19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19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19" s="75">
        <f>SUM(Table53[[#This Row],[NA]:[Burst]])</f>
        <v>0</v>
      </c>
    </row>
    <row r="20" spans="1:60" ht="30" customHeight="1" x14ac:dyDescent="0.25">
      <c r="A20" s="76">
        <f>SUBTOTAL(3,$D$3:Character[[#This Row],[NameHelper]])</f>
        <v>18</v>
      </c>
      <c r="B20" s="77" t="e" vm="824">
        <f>IFERROR(INDEX(ImgDatabase!$D:$D, MATCH(Character[[#This Row],[NameHelper]], ImgDatabase!$E:$E, 0)), "")</f>
        <v>#VALUE!</v>
      </c>
      <c r="C20" s="78" t="s">
        <v>551</v>
      </c>
      <c r="D20" s="78" t="s">
        <v>551</v>
      </c>
      <c r="E20" s="53" t="e" vm="91">
        <f>IFERROR(INDEX(ImgDatabase!$G:$G, MATCH(Character[[#This Row],[NameHelper]], ImgDatabase!$E:$E, 0)), "")</f>
        <v>#VALUE!</v>
      </c>
      <c r="F20" s="53" t="e" vm="546">
        <f>IFERROR(INDEX(CharacterDetailsImg[Weapon Type], MATCH(Character[[#This Row],[NameHelper]], CharacterDetailsImg[Name], 0)), "")</f>
        <v>#VALUE!</v>
      </c>
      <c r="G20" s="79">
        <f>IFERROR(INDEX(CharacterDetailsImg[Released Version], MATCH(Character[[#This Row],[NameHelper]], CharacterDetailsImg[Name], 0)), "")</f>
        <v>3.1</v>
      </c>
      <c r="H20" s="51">
        <v>0</v>
      </c>
      <c r="I20" s="41">
        <v>0</v>
      </c>
      <c r="J20" s="41">
        <v>0</v>
      </c>
      <c r="K20" s="52">
        <v>0</v>
      </c>
      <c r="M20" s="80">
        <v>81</v>
      </c>
      <c r="N20" s="80">
        <v>1</v>
      </c>
      <c r="O20" s="81">
        <v>9</v>
      </c>
      <c r="P20" s="82">
        <v>9</v>
      </c>
      <c r="R20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20" s="83" t="e" vm="506">
        <f>IF(Character[[#This Row],[Name]]="Traveler","",IFERROR(INDEX(ImgDatabase!$I:$I,MATCH(Character[[#This Row],[NameHelper]],ImgDatabase!$E:$E,0)),""))</f>
        <v>#VALUE!</v>
      </c>
      <c r="U20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20" s="85" t="e" vm="391">
        <f>IF(Character[[#This Row],[Name]]="Traveler","",IFERROR(INDEX(ImgDatabase!$K:$K, MATCH(Character[[#This Row],[NameHelper]], ImgDatabase!$E:$E, 0)), ""))</f>
        <v>#VALUE!</v>
      </c>
      <c r="X20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20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20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20" s="85" t="e" vm="198">
        <f>IFERROR(INDEX(ImgDatabase!$J:$J, MATCH(Character[[#This Row],[NameHelper]], ImgDatabase!$E:$E, 0)), "")</f>
        <v>#VALUE!</v>
      </c>
      <c r="AC20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20" s="83" t="e" vm="605">
        <f>IFERROR(INDEX(ImgDatabase!$M:$M, MATCH(Character[[#This Row],[NameHelper]], ImgDatabase!$E:$E, 0)), "")</f>
        <v>#VALUE!</v>
      </c>
      <c r="AF20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20" s="83" t="e" vm="97">
        <f>IFERROR(INDEX(ImgDatabase!$N:$N, MATCH(Character[[#This Row],[NameHelper]], ImgDatabase!$E:$E, 0)), "")</f>
        <v>#VALUE!</v>
      </c>
      <c r="AI20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20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20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20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20" s="53" t="e" vm="10">
        <f>IFERROR(INDEX(ImgDatabase!$L:$L, MATCH(Character[[#This Row],[NameHelper]], ImgDatabase!$E:$E, 0)), "")</f>
        <v>#VALUE!</v>
      </c>
      <c r="AO20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20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20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20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20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20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20" s="89">
        <f t="shared" si="0"/>
        <v>0</v>
      </c>
      <c r="AV20" s="90">
        <f t="shared" si="1"/>
        <v>0</v>
      </c>
      <c r="AW20" s="91">
        <f t="shared" si="2"/>
        <v>0</v>
      </c>
      <c r="AY20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20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20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20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20" s="131">
        <f>SUM(Table40[[#This Row],[Ascension
Cost]:[Talent Cost
(Burst)]])</f>
        <v>0</v>
      </c>
      <c r="BE20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20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20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20" s="75">
        <f>SUM(Table53[[#This Row],[NA]:[Burst]])</f>
        <v>0</v>
      </c>
    </row>
    <row r="21" spans="1:60" ht="30" customHeight="1" x14ac:dyDescent="0.25">
      <c r="A21" s="76">
        <f>SUBTOTAL(3,$D$3:Character[[#This Row],[NameHelper]])</f>
        <v>19</v>
      </c>
      <c r="B21" s="77" t="e" vm="825">
        <f>IFERROR(INDEX(ImgDatabase!$D:$D, MATCH(Character[[#This Row],[NameHelper]], ImgDatabase!$E:$E, 0)), "")</f>
        <v>#VALUE!</v>
      </c>
      <c r="C21" s="78" t="s">
        <v>472</v>
      </c>
      <c r="D21" s="78" t="s">
        <v>472</v>
      </c>
      <c r="E21" s="53" t="e" vm="50">
        <f>IFERROR(INDEX(ImgDatabase!$G:$G, MATCH(Character[[#This Row],[NameHelper]], ImgDatabase!$E:$E, 0)), "")</f>
        <v>#VALUE!</v>
      </c>
      <c r="F21" s="53" t="e" vm="479">
        <f>IFERROR(INDEX(CharacterDetailsImg[Weapon Type], MATCH(Character[[#This Row],[NameHelper]], CharacterDetailsImg[Name], 0)), "")</f>
        <v>#VALUE!</v>
      </c>
      <c r="G21" s="79">
        <f>IFERROR(INDEX(CharacterDetailsImg[Released Version], MATCH(Character[[#This Row],[NameHelper]], CharacterDetailsImg[Name], 0)), "")</f>
        <v>3.5</v>
      </c>
      <c r="H21" s="51">
        <v>0</v>
      </c>
      <c r="I21" s="41">
        <v>0</v>
      </c>
      <c r="J21" s="41">
        <v>0</v>
      </c>
      <c r="K21" s="52">
        <v>0</v>
      </c>
      <c r="M21" s="80">
        <v>81</v>
      </c>
      <c r="N21" s="80">
        <v>1</v>
      </c>
      <c r="O21" s="81">
        <v>9</v>
      </c>
      <c r="P21" s="82">
        <v>9</v>
      </c>
      <c r="R21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21" s="83" t="e" vm="389">
        <f>IF(Character[[#This Row],[Name]]="Traveler","",IFERROR(INDEX(ImgDatabase!$I:$I,MATCH(Character[[#This Row],[NameHelper]],ImgDatabase!$E:$E,0)),""))</f>
        <v>#VALUE!</v>
      </c>
      <c r="U21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21" s="85" t="e" vm="271">
        <f>IF(Character[[#This Row],[Name]]="Traveler","",IFERROR(INDEX(ImgDatabase!$K:$K, MATCH(Character[[#This Row],[NameHelper]], ImgDatabase!$E:$E, 0)), ""))</f>
        <v>#VALUE!</v>
      </c>
      <c r="X21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21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21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21" s="92" t="e" vm="390">
        <f>IFERROR(INDEX(ImgDatabase!$J:$J, MATCH(Character[[#This Row],[NameHelper]], ImgDatabase!$E:$E, 0)), "")</f>
        <v>#VALUE!</v>
      </c>
      <c r="AC21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21" s="63" t="e" vm="33">
        <f>IFERROR(INDEX(ImgDatabase!$M:$M, MATCH(Character[[#This Row],[NameHelper]], ImgDatabase!$E:$E, 0)), "")</f>
        <v>#VALUE!</v>
      </c>
      <c r="AF21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21" s="63" t="e" vm="56">
        <f>IFERROR(INDEX(ImgDatabase!$N:$N, MATCH(Character[[#This Row],[NameHelper]], ImgDatabase!$E:$E, 0)), "")</f>
        <v>#VALUE!</v>
      </c>
      <c r="AI21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21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21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21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21" s="64" t="e" vm="32">
        <f>IFERROR(INDEX(ImgDatabase!$L:$L, MATCH(Character[[#This Row],[NameHelper]], ImgDatabase!$E:$E, 0)), "")</f>
        <v>#VALUE!</v>
      </c>
      <c r="AO21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21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21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21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21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21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21" s="70">
        <f t="shared" si="0"/>
        <v>0</v>
      </c>
      <c r="AV21" s="71">
        <f t="shared" si="1"/>
        <v>0</v>
      </c>
      <c r="AW21" s="72">
        <f t="shared" si="2"/>
        <v>0</v>
      </c>
      <c r="AY21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21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21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21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21" s="134">
        <f>SUM(Table40[[#This Row],[Ascension
Cost]:[Talent Cost
(Burst)]])</f>
        <v>0</v>
      </c>
      <c r="BE21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21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21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21" s="75">
        <f>SUM(Table53[[#This Row],[NA]:[Burst]])</f>
        <v>0</v>
      </c>
    </row>
    <row r="22" spans="1:60" ht="30" customHeight="1" x14ac:dyDescent="0.25">
      <c r="A22" s="76">
        <f>SUBTOTAL(3,$D$3:Character[[#This Row],[NameHelper]])</f>
        <v>20</v>
      </c>
      <c r="B22" s="77" t="e" vm="826">
        <f>IFERROR(INDEX(ImgDatabase!$D:$D, MATCH(Character[[#This Row],[NameHelper]], ImgDatabase!$E:$E, 0)), "")</f>
        <v>#VALUE!</v>
      </c>
      <c r="C22" s="78" t="s">
        <v>475</v>
      </c>
      <c r="D22" s="78" t="s">
        <v>475</v>
      </c>
      <c r="E22" s="53" t="e" vm="50">
        <f>IFERROR(INDEX(ImgDatabase!$G:$G, MATCH(Character[[#This Row],[NameHelper]], ImgDatabase!$E:$E, 0)), "")</f>
        <v>#VALUE!</v>
      </c>
      <c r="F22" s="53" t="e" vm="479">
        <f>IFERROR(INDEX(CharacterDetailsImg[Weapon Type], MATCH(Character[[#This Row],[NameHelper]], CharacterDetailsImg[Name], 0)), "")</f>
        <v>#VALUE!</v>
      </c>
      <c r="G22" s="79">
        <f>IFERROR(INDEX(CharacterDetailsImg[Released Version], MATCH(Character[[#This Row],[NameHelper]], CharacterDetailsImg[Name], 0)), "")</f>
        <v>1</v>
      </c>
      <c r="H22" s="51">
        <v>22</v>
      </c>
      <c r="I22" s="41">
        <v>1</v>
      </c>
      <c r="J22" s="41">
        <v>1</v>
      </c>
      <c r="K22" s="52">
        <v>1</v>
      </c>
      <c r="M22" s="80">
        <v>81</v>
      </c>
      <c r="N22" s="80">
        <v>1</v>
      </c>
      <c r="O22" s="81">
        <v>9</v>
      </c>
      <c r="P22" s="82">
        <v>9</v>
      </c>
      <c r="R22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249</v>
      </c>
      <c r="T22" s="83" t="e" vm="51">
        <f>IF(Character[[#This Row],[Name]]="Traveler","",IFERROR(INDEX(ImgDatabase!$I:$I,MATCH(Character[[#This Row],[NameHelper]],ImgDatabase!$E:$E,0)),""))</f>
        <v>#VALUE!</v>
      </c>
      <c r="U22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22" s="85" t="e" vm="53">
        <f>IF(Character[[#This Row],[Name]]="Traveler","",IFERROR(INDEX(ImgDatabase!$K:$K, MATCH(Character[[#This Row],[NameHelper]], ImgDatabase!$E:$E, 0)), ""))</f>
        <v>#VALUE!</v>
      </c>
      <c r="X22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22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22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22" s="85" t="e" vm="52">
        <f>IFERROR(INDEX(ImgDatabase!$J:$J, MATCH(Character[[#This Row],[NameHelper]], ImgDatabase!$E:$E, 0)), "")</f>
        <v>#VALUE!</v>
      </c>
      <c r="AC22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22" s="83" t="e" vm="361">
        <f>IFERROR(INDEX(ImgDatabase!$M:$M, MATCH(Character[[#This Row],[NameHelper]], ImgDatabase!$E:$E, 0)), "")</f>
        <v>#VALUE!</v>
      </c>
      <c r="AF22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22" s="83" t="e" vm="56">
        <f>IFERROR(INDEX(ImgDatabase!$N:$N, MATCH(Character[[#This Row],[NameHelper]], ImgDatabase!$E:$E, 0)), "")</f>
        <v>#VALUE!</v>
      </c>
      <c r="AI22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22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22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22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22" s="53" t="e" vm="435">
        <f>IFERROR(INDEX(ImgDatabase!$L:$L, MATCH(Character[[#This Row],[NameHelper]], ImgDatabase!$E:$E, 0)), "")</f>
        <v>#VALUE!</v>
      </c>
      <c r="AO22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22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22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22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22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22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22" s="89">
        <f t="shared" si="0"/>
        <v>74</v>
      </c>
      <c r="AV22" s="90">
        <f t="shared" si="1"/>
        <v>74</v>
      </c>
      <c r="AW22" s="91">
        <f t="shared" si="2"/>
        <v>27</v>
      </c>
      <c r="AY22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1394170</v>
      </c>
      <c r="AZ22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22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22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22" s="131">
        <f>SUM(Table40[[#This Row],[Ascension
Cost]:[Talent Cost
(Burst)]])</f>
        <v>3299170</v>
      </c>
      <c r="BE22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22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22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22" s="75">
        <f>SUM(Table53[[#This Row],[NA]:[Burst]])</f>
        <v>0</v>
      </c>
    </row>
    <row r="23" spans="1:60" ht="30" customHeight="1" x14ac:dyDescent="0.25">
      <c r="A23" s="76">
        <f>SUBTOTAL(3,$D$3:Character[[#This Row],[NameHelper]])</f>
        <v>21</v>
      </c>
      <c r="B23" s="77" t="e" vm="827">
        <f>IFERROR(INDEX(ImgDatabase!$D:$D, MATCH(Character[[#This Row],[NameHelper]], ImgDatabase!$E:$E, 0)), "")</f>
        <v>#VALUE!</v>
      </c>
      <c r="C23" s="78" t="s">
        <v>380</v>
      </c>
      <c r="D23" s="78" t="s">
        <v>380</v>
      </c>
      <c r="E23" s="53" t="e" vm="165">
        <f>IFERROR(INDEX(ImgDatabase!$G:$G, MATCH(Character[[#This Row],[NameHelper]], ImgDatabase!$E:$E, 0)), "")</f>
        <v>#VALUE!</v>
      </c>
      <c r="F23" s="53" t="e" vm="348">
        <f>IFERROR(INDEX(CharacterDetailsImg[Weapon Type], MATCH(Character[[#This Row],[NameHelper]], CharacterDetailsImg[Name], 0)), "")</f>
        <v>#VALUE!</v>
      </c>
      <c r="G23" s="79">
        <f>IFERROR(INDEX(CharacterDetailsImg[Released Version], MATCH(Character[[#This Row],[NameHelper]], CharacterDetailsImg[Name], 0)), "")</f>
        <v>1.1000000000000001</v>
      </c>
      <c r="H23" s="51">
        <v>50</v>
      </c>
      <c r="I23" s="41">
        <v>2</v>
      </c>
      <c r="J23" s="41">
        <v>2</v>
      </c>
      <c r="K23" s="52">
        <v>2</v>
      </c>
      <c r="M23" s="80">
        <v>81</v>
      </c>
      <c r="N23" s="80">
        <v>1</v>
      </c>
      <c r="O23" s="81">
        <v>9</v>
      </c>
      <c r="P23" s="82">
        <v>9</v>
      </c>
      <c r="R23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193</v>
      </c>
      <c r="T23" s="83" t="e" vm="166">
        <f>IF(Character[[#This Row],[Name]]="Traveler","",IFERROR(INDEX(ImgDatabase!$I:$I,MATCH(Character[[#This Row],[NameHelper]],ImgDatabase!$E:$E,0)),""))</f>
        <v>#VALUE!</v>
      </c>
      <c r="U23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44</v>
      </c>
      <c r="W23" s="85" t="e" vm="351">
        <f>IF(Character[[#This Row],[Name]]="Traveler","",IFERROR(INDEX(ImgDatabase!$K:$K, MATCH(Character[[#This Row],[NameHelper]], ImgDatabase!$E:$E, 0)), ""))</f>
        <v>#VALUE!</v>
      </c>
      <c r="X23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23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23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23" s="92" t="e" vm="380">
        <f>IFERROR(INDEX(ImgDatabase!$J:$J, MATCH(Character[[#This Row],[NameHelper]], ImgDatabase!$E:$E, 0)), "")</f>
        <v>#VALUE!</v>
      </c>
      <c r="AC23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23" s="63" t="e" vm="168">
        <f>IFERROR(INDEX(ImgDatabase!$M:$M, MATCH(Character[[#This Row],[NameHelper]], ImgDatabase!$E:$E, 0)), "")</f>
        <v>#VALUE!</v>
      </c>
      <c r="AF23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155</v>
      </c>
      <c r="AH23" s="63" t="e" vm="169">
        <f>IFERROR(INDEX(ImgDatabase!$N:$N, MATCH(Character[[#This Row],[NameHelper]], ImgDatabase!$E:$E, 0)), "")</f>
        <v>#VALUE!</v>
      </c>
      <c r="AI23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23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23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6</v>
      </c>
      <c r="AL23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23" s="64" t="e" vm="302">
        <f>IFERROR(INDEX(ImgDatabase!$L:$L, MATCH(Character[[#This Row],[NameHelper]], ImgDatabase!$E:$E, 0)), "")</f>
        <v>#VALUE!</v>
      </c>
      <c r="AO23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23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23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23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23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23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23" s="70">
        <f t="shared" si="0"/>
        <v>74</v>
      </c>
      <c r="AV23" s="71">
        <f t="shared" si="1"/>
        <v>74</v>
      </c>
      <c r="AW23" s="72">
        <f t="shared" si="2"/>
        <v>0</v>
      </c>
      <c r="AY23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1129020</v>
      </c>
      <c r="AZ23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23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940000</v>
      </c>
      <c r="BB23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940000</v>
      </c>
      <c r="BC23" s="134">
        <f>SUM(Table40[[#This Row],[Ascension
Cost]:[Talent Cost
(Burst)]])</f>
        <v>3009020</v>
      </c>
      <c r="BE23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23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23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23" s="75">
        <f>SUM(Table53[[#This Row],[NA]:[Burst]])</f>
        <v>0</v>
      </c>
    </row>
    <row r="24" spans="1:60" ht="30" customHeight="1" x14ac:dyDescent="0.25">
      <c r="A24" s="76">
        <f>SUBTOTAL(3,$D$3:Character[[#This Row],[NameHelper]])</f>
        <v>22</v>
      </c>
      <c r="B24" s="77" t="e" vm="828">
        <f>IFERROR(INDEX(ImgDatabase!$D:$D, MATCH(Character[[#This Row],[NameHelper]], ImgDatabase!$E:$E, 0)), "")</f>
        <v>#VALUE!</v>
      </c>
      <c r="C24" s="78" t="s">
        <v>478</v>
      </c>
      <c r="D24" s="78" t="s">
        <v>478</v>
      </c>
      <c r="E24" s="53" t="e" vm="91">
        <f>IFERROR(INDEX(ImgDatabase!$G:$G, MATCH(Character[[#This Row],[NameHelper]], ImgDatabase!$E:$E, 0)), "")</f>
        <v>#VALUE!</v>
      </c>
      <c r="F24" s="53" t="e" vm="479">
        <f>IFERROR(INDEX(CharacterDetailsImg[Weapon Type], MATCH(Character[[#This Row],[NameHelper]], CharacterDetailsImg[Name], 0)), "")</f>
        <v>#VALUE!</v>
      </c>
      <c r="G24" s="79">
        <f>IFERROR(INDEX(CharacterDetailsImg[Released Version], MATCH(Character[[#This Row],[NameHelper]], CharacterDetailsImg[Name], 0)), "")</f>
        <v>3</v>
      </c>
      <c r="H24" s="51">
        <v>51</v>
      </c>
      <c r="I24" s="41">
        <v>1</v>
      </c>
      <c r="J24" s="41">
        <v>1</v>
      </c>
      <c r="K24" s="52">
        <v>1</v>
      </c>
      <c r="M24" s="80">
        <v>81</v>
      </c>
      <c r="N24" s="80">
        <v>1</v>
      </c>
      <c r="O24" s="81">
        <v>9</v>
      </c>
      <c r="P24" s="82">
        <v>9</v>
      </c>
      <c r="R24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189</v>
      </c>
      <c r="T24" s="83" t="e" vm="506">
        <f>IF(Character[[#This Row],[Name]]="Traveler","",IFERROR(INDEX(ImgDatabase!$I:$I,MATCH(Character[[#This Row],[NameHelper]],ImgDatabase!$E:$E,0)),""))</f>
        <v>#VALUE!</v>
      </c>
      <c r="U24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40</v>
      </c>
      <c r="W24" s="85" t="e" vm="31">
        <f>IF(Character[[#This Row],[Name]]="Traveler","",IFERROR(INDEX(ImgDatabase!$K:$K, MATCH(Character[[#This Row],[NameHelper]], ImgDatabase!$E:$E, 0)), ""))</f>
        <v>#VALUE!</v>
      </c>
      <c r="X24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24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24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24" s="85" t="e" vm="182">
        <f>IFERROR(INDEX(ImgDatabase!$J:$J, MATCH(Character[[#This Row],[NameHelper]], ImgDatabase!$E:$E, 0)), "")</f>
        <v>#VALUE!</v>
      </c>
      <c r="AC24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24" s="83" t="e" vm="507">
        <f>IFERROR(INDEX(ImgDatabase!$M:$M, MATCH(Character[[#This Row],[NameHelper]], ImgDatabase!$E:$E, 0)), "")</f>
        <v>#VALUE!</v>
      </c>
      <c r="AF24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135</v>
      </c>
      <c r="AH24" s="83" t="e" vm="97">
        <f>IFERROR(INDEX(ImgDatabase!$N:$N, MATCH(Character[[#This Row],[NameHelper]], ImgDatabase!$E:$E, 0)), "")</f>
        <v>#VALUE!</v>
      </c>
      <c r="AI24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24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24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24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24" s="53" t="e" vm="32">
        <f>IFERROR(INDEX(ImgDatabase!$L:$L, MATCH(Character[[#This Row],[NameHelper]], ImgDatabase!$E:$E, 0)), "")</f>
        <v>#VALUE!</v>
      </c>
      <c r="AO24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24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18</v>
      </c>
      <c r="AQ24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24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24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24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24" s="89">
        <f t="shared" si="0"/>
        <v>74</v>
      </c>
      <c r="AV24" s="90">
        <f t="shared" si="1"/>
        <v>62</v>
      </c>
      <c r="AW24" s="91">
        <f t="shared" si="2"/>
        <v>12</v>
      </c>
      <c r="AY24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1054925</v>
      </c>
      <c r="AZ24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24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24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24" s="131">
        <f>SUM(Table40[[#This Row],[Ascension
Cost]:[Talent Cost
(Burst)]])</f>
        <v>2959925</v>
      </c>
      <c r="BE24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24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24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24" s="75">
        <f>SUM(Table53[[#This Row],[NA]:[Burst]])</f>
        <v>0</v>
      </c>
    </row>
    <row r="25" spans="1:60" ht="30" customHeight="1" x14ac:dyDescent="0.25">
      <c r="A25" s="76">
        <f>SUBTOTAL(3,$D$3:Character[[#This Row],[NameHelper]])</f>
        <v>23</v>
      </c>
      <c r="B25" s="77" t="e" vm="829">
        <f>IFERROR(INDEX(ImgDatabase!$D:$D, MATCH(Character[[#This Row],[NameHelper]], ImgDatabase!$E:$E, 0)), "")</f>
        <v>#VALUE!</v>
      </c>
      <c r="C25" s="78" t="s">
        <v>481</v>
      </c>
      <c r="D25" s="78" t="s">
        <v>481</v>
      </c>
      <c r="E25" s="53" t="e" vm="165">
        <f>IFERROR(INDEX(ImgDatabase!$G:$G, MATCH(Character[[#This Row],[NameHelper]], ImgDatabase!$E:$E, 0)), "")</f>
        <v>#VALUE!</v>
      </c>
      <c r="F25" s="53" t="e" vm="479">
        <f>IFERROR(INDEX(CharacterDetailsImg[Weapon Type], MATCH(Character[[#This Row],[NameHelper]], CharacterDetailsImg[Name], 0)), "")</f>
        <v>#VALUE!</v>
      </c>
      <c r="G25" s="79">
        <f>IFERROR(INDEX(CharacterDetailsImg[Released Version], MATCH(Character[[#This Row],[NameHelper]], CharacterDetailsImg[Name], 0)), "")</f>
        <v>1.5</v>
      </c>
      <c r="H25" s="51">
        <v>90</v>
      </c>
      <c r="I25" s="41">
        <v>9</v>
      </c>
      <c r="J25" s="41">
        <v>8</v>
      </c>
      <c r="K25" s="52">
        <v>10</v>
      </c>
      <c r="M25" s="80">
        <v>81</v>
      </c>
      <c r="N25" s="80">
        <v>1</v>
      </c>
      <c r="O25" s="81">
        <v>9</v>
      </c>
      <c r="P25" s="82">
        <v>9</v>
      </c>
      <c r="R25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25" s="83" t="e" vm="349">
        <f>IF(Character[[#This Row],[Name]]="Traveler","",IFERROR(INDEX(ImgDatabase!$I:$I,MATCH(Character[[#This Row],[NameHelper]],ImgDatabase!$E:$E,0)),""))</f>
        <v>#VALUE!</v>
      </c>
      <c r="U25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25" s="85" t="e" vm="53">
        <f>IF(Character[[#This Row],[Name]]="Traveler","",IFERROR(INDEX(ImgDatabase!$K:$K, MATCH(Character[[#This Row],[NameHelper]], ImgDatabase!$E:$E, 0)), ""))</f>
        <v>#VALUE!</v>
      </c>
      <c r="X25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12</v>
      </c>
      <c r="Y25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25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25" s="92" t="e" vm="311">
        <f>IFERROR(INDEX(ImgDatabase!$J:$J, MATCH(Character[[#This Row],[NameHelper]], ImgDatabase!$E:$E, 0)), "")</f>
        <v>#VALUE!</v>
      </c>
      <c r="AC25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2</v>
      </c>
      <c r="AE25" s="63" t="e" vm="134">
        <f>IFERROR(INDEX(ImgDatabase!$M:$M, MATCH(Character[[#This Row],[NameHelper]], ImgDatabase!$E:$E, 0)), "")</f>
        <v>#VALUE!</v>
      </c>
      <c r="AF25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25" s="63" t="e" vm="169">
        <f>IFERROR(INDEX(ImgDatabase!$N:$N, MATCH(Character[[#This Row],[NameHelper]], ImgDatabase!$E:$E, 0)), "")</f>
        <v>#VALUE!</v>
      </c>
      <c r="AI25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25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25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25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25" s="64" t="e" vm="133">
        <f>IFERROR(INDEX(ImgDatabase!$L:$L, MATCH(Character[[#This Row],[NameHelper]], ImgDatabase!$E:$E, 0)), "")</f>
        <v>#VALUE!</v>
      </c>
      <c r="AO25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25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25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25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9</v>
      </c>
      <c r="AS25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25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25" s="70">
        <f t="shared" si="0"/>
        <v>9</v>
      </c>
      <c r="AV25" s="71">
        <f t="shared" si="1"/>
        <v>0</v>
      </c>
      <c r="AW25" s="72">
        <f t="shared" si="2"/>
        <v>0</v>
      </c>
      <c r="AY25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25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25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450000</v>
      </c>
      <c r="BB25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25" s="134">
        <f>SUM(Table40[[#This Row],[Ascension
Cost]:[Talent Cost
(Burst)]])</f>
        <v>450000</v>
      </c>
      <c r="BE25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25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25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25" s="75">
        <f>SUM(Table53[[#This Row],[NA]:[Burst]])</f>
        <v>0</v>
      </c>
    </row>
    <row r="26" spans="1:60" ht="30" customHeight="1" x14ac:dyDescent="0.25">
      <c r="A26" s="76">
        <f>SUBTOTAL(3,$D$3:Character[[#This Row],[NameHelper]])</f>
        <v>24</v>
      </c>
      <c r="B26" s="77" t="e" vm="830">
        <f>IFERROR(INDEX(ImgDatabase!$D:$D, MATCH(Character[[#This Row],[NameHelper]], ImgDatabase!$E:$E, 0)), "")</f>
        <v>#VALUE!</v>
      </c>
      <c r="C26" s="78" t="s">
        <v>388</v>
      </c>
      <c r="D26" s="78" t="s">
        <v>388</v>
      </c>
      <c r="E26" s="53" t="e" vm="131">
        <f>IFERROR(INDEX(ImgDatabase!$G:$G, MATCH(Character[[#This Row],[NameHelper]], ImgDatabase!$E:$E, 0)), "")</f>
        <v>#VALUE!</v>
      </c>
      <c r="F26" s="53" t="e" vm="348">
        <f>IFERROR(INDEX(CharacterDetailsImg[Weapon Type], MATCH(Character[[#This Row],[NameHelper]], CharacterDetailsImg[Name], 0)), "")</f>
        <v>#VALUE!</v>
      </c>
      <c r="G26" s="79">
        <f>IFERROR(INDEX(CharacterDetailsImg[Released Version], MATCH(Character[[#This Row],[NameHelper]], CharacterDetailsImg[Name], 0)), "")</f>
        <v>3.3</v>
      </c>
      <c r="H26" s="51">
        <v>90</v>
      </c>
      <c r="I26" s="41">
        <v>4</v>
      </c>
      <c r="J26" s="41">
        <v>9</v>
      </c>
      <c r="K26" s="52">
        <v>10</v>
      </c>
      <c r="M26" s="80">
        <v>81</v>
      </c>
      <c r="N26" s="80">
        <v>1</v>
      </c>
      <c r="O26" s="81">
        <v>9</v>
      </c>
      <c r="P26" s="82">
        <v>9</v>
      </c>
      <c r="R26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26" s="83" t="e" vm="389">
        <f>IF(Character[[#This Row],[Name]]="Traveler","",IFERROR(INDEX(ImgDatabase!$I:$I,MATCH(Character[[#This Row],[NameHelper]],ImgDatabase!$E:$E,0)),""))</f>
        <v>#VALUE!</v>
      </c>
      <c r="U26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26" s="85" t="e" vm="391">
        <f>IF(Character[[#This Row],[Name]]="Traveler","",IFERROR(INDEX(ImgDatabase!$K:$K, MATCH(Character[[#This Row],[NameHelper]], ImgDatabase!$E:$E, 0)), ""))</f>
        <v>#VALUE!</v>
      </c>
      <c r="X26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26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26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26" s="85" t="e" vm="390">
        <f>IFERROR(INDEX(ImgDatabase!$J:$J, MATCH(Character[[#This Row],[NameHelper]], ImgDatabase!$E:$E, 0)), "")</f>
        <v>#VALUE!</v>
      </c>
      <c r="AC26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26" s="83" t="e" vm="76">
        <f>IFERROR(INDEX(ImgDatabase!$M:$M, MATCH(Character[[#This Row],[NameHelper]], ImgDatabase!$E:$E, 0)), "")</f>
        <v>#VALUE!</v>
      </c>
      <c r="AF26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26" s="83" t="e" vm="135">
        <f>IFERROR(INDEX(ImgDatabase!$N:$N, MATCH(Character[[#This Row],[NameHelper]], ImgDatabase!$E:$E, 0)), "")</f>
        <v>#VALUE!</v>
      </c>
      <c r="AI26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26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26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26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26" s="53" t="e" vm="32">
        <f>IFERROR(INDEX(ImgDatabase!$L:$L, MATCH(Character[[#This Row],[NameHelper]], ImgDatabase!$E:$E, 0)), "")</f>
        <v>#VALUE!</v>
      </c>
      <c r="AO26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26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26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26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26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26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26" s="89">
        <f t="shared" si="0"/>
        <v>0</v>
      </c>
      <c r="AV26" s="90">
        <f t="shared" si="1"/>
        <v>0</v>
      </c>
      <c r="AW26" s="91">
        <f t="shared" si="2"/>
        <v>0</v>
      </c>
      <c r="AY26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26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26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26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26" s="131">
        <f>SUM(Table40[[#This Row],[Ascension
Cost]:[Talent Cost
(Burst)]])</f>
        <v>0</v>
      </c>
      <c r="BE26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26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26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26" s="75">
        <f>SUM(Table53[[#This Row],[NA]:[Burst]])</f>
        <v>0</v>
      </c>
    </row>
    <row r="27" spans="1:60" ht="30" customHeight="1" x14ac:dyDescent="0.25">
      <c r="A27" s="76">
        <f>SUBTOTAL(3,$D$3:Character[[#This Row],[NameHelper]])</f>
        <v>25</v>
      </c>
      <c r="B27" s="77" t="e" vm="831">
        <f>IFERROR(INDEX(ImgDatabase!$D:$D, MATCH(Character[[#This Row],[NameHelper]], ImgDatabase!$E:$E, 0)), "")</f>
        <v>#VALUE!</v>
      </c>
      <c r="C27" s="78" t="s">
        <v>396</v>
      </c>
      <c r="D27" s="78" t="s">
        <v>396</v>
      </c>
      <c r="E27" s="53" t="e" vm="91">
        <f>IFERROR(INDEX(ImgDatabase!$G:$G, MATCH(Character[[#This Row],[NameHelper]], ImgDatabase!$E:$E, 0)), "")</f>
        <v>#VALUE!</v>
      </c>
      <c r="F27" s="53" t="e" vm="348">
        <f>IFERROR(INDEX(CharacterDetailsImg[Weapon Type], MATCH(Character[[#This Row],[NameHelper]], CharacterDetailsImg[Name], 0)), "")</f>
        <v>#VALUE!</v>
      </c>
      <c r="G27" s="79">
        <f>IFERROR(INDEX(CharacterDetailsImg[Released Version], MATCH(Character[[#This Row],[NameHelper]], CharacterDetailsImg[Name], 0)), "")</f>
        <v>1</v>
      </c>
      <c r="H27" s="51">
        <v>90</v>
      </c>
      <c r="I27" s="41">
        <v>1</v>
      </c>
      <c r="J27" s="41">
        <v>10</v>
      </c>
      <c r="K27" s="52">
        <v>1</v>
      </c>
      <c r="M27" s="80">
        <v>81</v>
      </c>
      <c r="N27" s="80">
        <v>1</v>
      </c>
      <c r="O27" s="81">
        <v>9</v>
      </c>
      <c r="P27" s="82">
        <v>9</v>
      </c>
      <c r="R27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27" s="83" t="e" vm="210">
        <f>IF(Character[[#This Row],[Name]]="Traveler","",IFERROR(INDEX(ImgDatabase!$I:$I,MATCH(Character[[#This Row],[NameHelper]],ImgDatabase!$E:$E,0)),""))</f>
        <v>#VALUE!</v>
      </c>
      <c r="U27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27" s="85" t="e" vm="9">
        <f>IF(Character[[#This Row],[Name]]="Traveler","",IFERROR(INDEX(ImgDatabase!$K:$K, MATCH(Character[[#This Row],[NameHelper]], ImgDatabase!$E:$E, 0)), ""))</f>
        <v>#VALUE!</v>
      </c>
      <c r="X27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22</v>
      </c>
      <c r="Y27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21</v>
      </c>
      <c r="Z27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3</v>
      </c>
      <c r="AB27" s="92" t="e" vm="167">
        <f>IFERROR(INDEX(ImgDatabase!$J:$J, MATCH(Character[[#This Row],[NameHelper]], ImgDatabase!$E:$E, 0)), "")</f>
        <v>#VALUE!</v>
      </c>
      <c r="AC27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4</v>
      </c>
      <c r="AE27" s="63" t="e" vm="361">
        <f>IFERROR(INDEX(ImgDatabase!$M:$M, MATCH(Character[[#This Row],[NameHelper]], ImgDatabase!$E:$E, 0)), "")</f>
        <v>#VALUE!</v>
      </c>
      <c r="AF27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27" s="63" t="e" vm="97">
        <f>IFERROR(INDEX(ImgDatabase!$N:$N, MATCH(Character[[#This Row],[NameHelper]], ImgDatabase!$E:$E, 0)), "")</f>
        <v>#VALUE!</v>
      </c>
      <c r="AI27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27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27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27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27" s="64" t="e" vm="302">
        <f>IFERROR(INDEX(ImgDatabase!$L:$L, MATCH(Character[[#This Row],[NameHelper]], ImgDatabase!$E:$E, 0)), "")</f>
        <v>#VALUE!</v>
      </c>
      <c r="AO27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27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27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27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19</v>
      </c>
      <c r="AS27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22</v>
      </c>
      <c r="AT27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6</v>
      </c>
      <c r="AU27" s="70">
        <f t="shared" si="0"/>
        <v>19</v>
      </c>
      <c r="AV27" s="71">
        <f t="shared" si="1"/>
        <v>22</v>
      </c>
      <c r="AW27" s="72">
        <f t="shared" si="2"/>
        <v>6</v>
      </c>
      <c r="AY27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27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27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27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27" s="134">
        <f>SUM(Table40[[#This Row],[Ascension
Cost]:[Talent Cost
(Burst)]])</f>
        <v>952500</v>
      </c>
      <c r="BE27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27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27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27" s="75">
        <f>SUM(Table53[[#This Row],[NA]:[Burst]])</f>
        <v>0</v>
      </c>
    </row>
    <row r="28" spans="1:60" ht="30" customHeight="1" x14ac:dyDescent="0.25">
      <c r="A28" s="76">
        <f>SUBTOTAL(3,$D$3:Character[[#This Row],[NameHelper]])</f>
        <v>26</v>
      </c>
      <c r="B28" s="77" t="e" vm="832">
        <f>IFERROR(INDEX(ImgDatabase!$D:$D, MATCH(Character[[#This Row],[NameHelper]], ImgDatabase!$E:$E, 0)), "")</f>
        <v>#VALUE!</v>
      </c>
      <c r="C28" s="78" t="s">
        <v>484</v>
      </c>
      <c r="D28" s="78" t="s">
        <v>484</v>
      </c>
      <c r="E28" s="53" t="e" vm="165">
        <f>IFERROR(INDEX(ImgDatabase!$G:$G, MATCH(Character[[#This Row],[NameHelper]], ImgDatabase!$E:$E, 0)), "")</f>
        <v>#VALUE!</v>
      </c>
      <c r="F28" s="53" t="e" vm="479">
        <f>IFERROR(INDEX(CharacterDetailsImg[Weapon Type], MATCH(Character[[#This Row],[NameHelper]], CharacterDetailsImg[Name], 0)), "")</f>
        <v>#VALUE!</v>
      </c>
      <c r="G28" s="79">
        <f>IFERROR(INDEX(CharacterDetailsImg[Released Version], MATCH(Character[[#This Row],[NameHelper]], CharacterDetailsImg[Name], 0)), "")</f>
        <v>4</v>
      </c>
      <c r="H28" s="51">
        <v>22</v>
      </c>
      <c r="I28" s="41">
        <v>1</v>
      </c>
      <c r="J28" s="41">
        <v>1</v>
      </c>
      <c r="K28" s="52">
        <v>1</v>
      </c>
      <c r="M28" s="80">
        <v>81</v>
      </c>
      <c r="N28" s="80">
        <v>1</v>
      </c>
      <c r="O28" s="81">
        <v>9</v>
      </c>
      <c r="P28" s="82">
        <v>9</v>
      </c>
      <c r="R28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249</v>
      </c>
      <c r="T28" s="83" t="e" vm="514">
        <f>IF(Character[[#This Row],[Name]]="Traveler","",IFERROR(INDEX(ImgDatabase!$I:$I,MATCH(Character[[#This Row],[NameHelper]],ImgDatabase!$E:$E,0)),""))</f>
        <v>#VALUE!</v>
      </c>
      <c r="U28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28" s="85" t="e" vm="94">
        <f>IF(Character[[#This Row],[Name]]="Traveler","",IFERROR(INDEX(ImgDatabase!$K:$K, MATCH(Character[[#This Row],[NameHelper]], ImgDatabase!$E:$E, 0)), ""))</f>
        <v>#VALUE!</v>
      </c>
      <c r="X28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28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28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28" s="85" t="e" vm="328">
        <f>IFERROR(INDEX(ImgDatabase!$J:$J, MATCH(Character[[#This Row],[NameHelper]], ImgDatabase!$E:$E, 0)), "")</f>
        <v>#VALUE!</v>
      </c>
      <c r="AC28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28" s="83" t="e" vm="515">
        <f>IFERROR(INDEX(ImgDatabase!$M:$M, MATCH(Character[[#This Row],[NameHelper]], ImgDatabase!$E:$E, 0)), "")</f>
        <v>#VALUE!</v>
      </c>
      <c r="AF28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28" s="83" t="e" vm="169">
        <f>IFERROR(INDEX(ImgDatabase!$N:$N, MATCH(Character[[#This Row],[NameHelper]], ImgDatabase!$E:$E, 0)), "")</f>
        <v>#VALUE!</v>
      </c>
      <c r="AI28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28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28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28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28" s="53" t="e" vm="95">
        <f>IFERROR(INDEX(ImgDatabase!$L:$L, MATCH(Character[[#This Row],[NameHelper]], ImgDatabase!$E:$E, 0)), "")</f>
        <v>#VALUE!</v>
      </c>
      <c r="AO28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28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28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28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28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28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28" s="89">
        <f t="shared" si="0"/>
        <v>74</v>
      </c>
      <c r="AV28" s="90">
        <f t="shared" si="1"/>
        <v>74</v>
      </c>
      <c r="AW28" s="91">
        <f t="shared" si="2"/>
        <v>27</v>
      </c>
      <c r="AY28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1394170</v>
      </c>
      <c r="AZ28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28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28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28" s="131">
        <f>SUM(Table40[[#This Row],[Ascension
Cost]:[Talent Cost
(Burst)]])</f>
        <v>3299170</v>
      </c>
      <c r="BE28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28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28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28" s="75">
        <f>SUM(Table53[[#This Row],[NA]:[Burst]])</f>
        <v>0</v>
      </c>
    </row>
    <row r="29" spans="1:60" ht="30" customHeight="1" x14ac:dyDescent="0.25">
      <c r="A29" s="76">
        <f>SUBTOTAL(3,$D$3:Character[[#This Row],[NameHelper]])</f>
        <v>27</v>
      </c>
      <c r="B29" s="77" t="e" vm="833">
        <f>IFERROR(INDEX(ImgDatabase!$D:$D, MATCH(Character[[#This Row],[NameHelper]], ImgDatabase!$E:$E, 0)), "")</f>
        <v>#VALUE!</v>
      </c>
      <c r="C29" s="78" t="s">
        <v>147</v>
      </c>
      <c r="D29" s="78" t="s">
        <v>147</v>
      </c>
      <c r="E29" s="53" t="e" vm="112">
        <f>IFERROR(INDEX(ImgDatabase!$G:$G, MATCH(Character[[#This Row],[NameHelper]], ImgDatabase!$E:$E, 0)), "")</f>
        <v>#VALUE!</v>
      </c>
      <c r="F29" s="53" t="e" vm="5">
        <f>IFERROR(INDEX(CharacterDetailsImg[Weapon Type], MATCH(Character[[#This Row],[NameHelper]], CharacterDetailsImg[Name], 0)), "")</f>
        <v>#VALUE!</v>
      </c>
      <c r="G29" s="79">
        <f>IFERROR(INDEX(CharacterDetailsImg[Released Version], MATCH(Character[[#This Row],[NameHelper]], CharacterDetailsImg[Name], 0)), "")</f>
        <v>4.2</v>
      </c>
      <c r="H29" s="51">
        <v>90</v>
      </c>
      <c r="I29" s="41">
        <v>1</v>
      </c>
      <c r="J29" s="41">
        <v>10</v>
      </c>
      <c r="K29" s="52">
        <v>10</v>
      </c>
      <c r="M29" s="80">
        <v>81</v>
      </c>
      <c r="N29" s="80">
        <v>1</v>
      </c>
      <c r="O29" s="81">
        <v>9</v>
      </c>
      <c r="P29" s="82">
        <v>9</v>
      </c>
      <c r="R29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29" s="83" t="e" vm="113">
        <f>IF(Character[[#This Row],[Name]]="Traveler","",IFERROR(INDEX(ImgDatabase!$I:$I,MATCH(Character[[#This Row],[NameHelper]],ImgDatabase!$E:$E,0)),""))</f>
        <v>#VALUE!</v>
      </c>
      <c r="U29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29" s="85" t="e" vm="94">
        <f>IF(Character[[#This Row],[Name]]="Traveler","",IFERROR(INDEX(ImgDatabase!$K:$K, MATCH(Character[[#This Row],[NameHelper]], ImgDatabase!$E:$E, 0)), ""))</f>
        <v>#VALUE!</v>
      </c>
      <c r="X29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29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29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29" s="92" t="e" vm="114">
        <f>IFERROR(INDEX(ImgDatabase!$J:$J, MATCH(Character[[#This Row],[NameHelper]], ImgDatabase!$E:$E, 0)), "")</f>
        <v>#VALUE!</v>
      </c>
      <c r="AC29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29" s="63" t="e" vm="116">
        <f>IFERROR(INDEX(ImgDatabase!$M:$M, MATCH(Character[[#This Row],[NameHelper]], ImgDatabase!$E:$E, 0)), "")</f>
        <v>#VALUE!</v>
      </c>
      <c r="AF29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29" s="63" t="e" vm="117">
        <f>IFERROR(INDEX(ImgDatabase!$N:$N, MATCH(Character[[#This Row],[NameHelper]], ImgDatabase!$E:$E, 0)), "")</f>
        <v>#VALUE!</v>
      </c>
      <c r="AI29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29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29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29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29" s="64" t="e" vm="115">
        <f>IFERROR(INDEX(ImgDatabase!$L:$L, MATCH(Character[[#This Row],[NameHelper]], ImgDatabase!$E:$E, 0)), "")</f>
        <v>#VALUE!</v>
      </c>
      <c r="AO29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29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29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29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29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29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29" s="70">
        <f t="shared" si="0"/>
        <v>0</v>
      </c>
      <c r="AV29" s="71">
        <f t="shared" si="1"/>
        <v>0</v>
      </c>
      <c r="AW29" s="72">
        <f t="shared" si="2"/>
        <v>0</v>
      </c>
      <c r="AY29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29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29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29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29" s="134">
        <f>SUM(Table40[[#This Row],[Ascension
Cost]:[Talent Cost
(Burst)]])</f>
        <v>0</v>
      </c>
      <c r="BE29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29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29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29" s="75">
        <f>SUM(Table53[[#This Row],[NA]:[Burst]])</f>
        <v>0</v>
      </c>
    </row>
    <row r="30" spans="1:60" ht="30" customHeight="1" x14ac:dyDescent="0.25">
      <c r="A30" s="76">
        <f>SUBTOTAL(3,$D$3:Character[[#This Row],[NameHelper]])</f>
        <v>28</v>
      </c>
      <c r="B30" s="77" t="e" vm="834">
        <f>IFERROR(INDEX(ImgDatabase!$D:$D, MATCH(Character[[#This Row],[NameHelper]], ImgDatabase!$E:$E, 0)), "")</f>
        <v>#VALUE!</v>
      </c>
      <c r="C30" s="78" t="s">
        <v>487</v>
      </c>
      <c r="D30" s="78" t="s">
        <v>487</v>
      </c>
      <c r="E30" s="53" t="e" vm="50">
        <f>IFERROR(INDEX(ImgDatabase!$G:$G, MATCH(Character[[#This Row],[NameHelper]], ImgDatabase!$E:$E, 0)), "")</f>
        <v>#VALUE!</v>
      </c>
      <c r="F30" s="53" t="e" vm="479">
        <f>IFERROR(INDEX(CharacterDetailsImg[Weapon Type], MATCH(Character[[#This Row],[NameHelper]], CharacterDetailsImg[Name], 0)), "")</f>
        <v>#VALUE!</v>
      </c>
      <c r="G30" s="79">
        <f>IFERROR(INDEX(CharacterDetailsImg[Released Version], MATCH(Character[[#This Row],[NameHelper]], CharacterDetailsImg[Name], 0)), "")</f>
        <v>4.4000000000000004</v>
      </c>
      <c r="H30" s="51">
        <v>22</v>
      </c>
      <c r="I30" s="41">
        <v>1</v>
      </c>
      <c r="J30" s="41">
        <v>1</v>
      </c>
      <c r="K30" s="52">
        <v>1</v>
      </c>
      <c r="M30" s="80">
        <v>81</v>
      </c>
      <c r="N30" s="80">
        <v>1</v>
      </c>
      <c r="O30" s="81">
        <v>9</v>
      </c>
      <c r="P30" s="82">
        <v>9</v>
      </c>
      <c r="R30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249</v>
      </c>
      <c r="T30" s="83" t="e" vm="432">
        <f>IF(Character[[#This Row],[Name]]="Traveler","",IFERROR(INDEX(ImgDatabase!$I:$I,MATCH(Character[[#This Row],[NameHelper]],ImgDatabase!$E:$E,0)),""))</f>
        <v>#VALUE!</v>
      </c>
      <c r="U30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30" s="85" t="e" vm="212">
        <f>IF(Character[[#This Row],[Name]]="Traveler","",IFERROR(INDEX(ImgDatabase!$K:$K, MATCH(Character[[#This Row],[NameHelper]], ImgDatabase!$E:$E, 0)), ""))</f>
        <v>#VALUE!</v>
      </c>
      <c r="X30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30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30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30" s="85" t="e" vm="114">
        <f>IFERROR(INDEX(ImgDatabase!$J:$J, MATCH(Character[[#This Row],[NameHelper]], ImgDatabase!$E:$E, 0)), "")</f>
        <v>#VALUE!</v>
      </c>
      <c r="AC30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30" s="83" t="e" vm="450">
        <f>IFERROR(INDEX(ImgDatabase!$M:$M, MATCH(Character[[#This Row],[NameHelper]], ImgDatabase!$E:$E, 0)), "")</f>
        <v>#VALUE!</v>
      </c>
      <c r="AF30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30" s="83" t="e" vm="56">
        <f>IFERROR(INDEX(ImgDatabase!$N:$N, MATCH(Character[[#This Row],[NameHelper]], ImgDatabase!$E:$E, 0)), "")</f>
        <v>#VALUE!</v>
      </c>
      <c r="AI30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30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30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30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30" s="53" t="e" vm="462">
        <f>IFERROR(INDEX(ImgDatabase!$L:$L, MATCH(Character[[#This Row],[NameHelper]], ImgDatabase!$E:$E, 0)), "")</f>
        <v>#VALUE!</v>
      </c>
      <c r="AO30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30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30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30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30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30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30" s="89">
        <f t="shared" si="0"/>
        <v>74</v>
      </c>
      <c r="AV30" s="90">
        <f t="shared" si="1"/>
        <v>74</v>
      </c>
      <c r="AW30" s="91">
        <f t="shared" si="2"/>
        <v>27</v>
      </c>
      <c r="AY30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1394170</v>
      </c>
      <c r="AZ30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30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30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30" s="131">
        <f>SUM(Table40[[#This Row],[Ascension
Cost]:[Talent Cost
(Burst)]])</f>
        <v>3299170</v>
      </c>
      <c r="BE30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30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30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30" s="75">
        <f>SUM(Table53[[#This Row],[NA]:[Burst]])</f>
        <v>0</v>
      </c>
    </row>
    <row r="31" spans="1:60" ht="30" customHeight="1" x14ac:dyDescent="0.25">
      <c r="A31" s="76">
        <f>SUBTOTAL(3,$D$3:Character[[#This Row],[NameHelper]])</f>
        <v>29</v>
      </c>
      <c r="B31" s="77" t="e" vm="835">
        <f>IFERROR(INDEX(ImgDatabase!$D:$D, MATCH(Character[[#This Row],[NameHelper]], ImgDatabase!$E:$E, 0)), "")</f>
        <v>#VALUE!</v>
      </c>
      <c r="C31" s="78" t="s">
        <v>402</v>
      </c>
      <c r="D31" s="78" t="s">
        <v>402</v>
      </c>
      <c r="E31" s="53" t="e" vm="165">
        <f>IFERROR(INDEX(ImgDatabase!$G:$G, MATCH(Character[[#This Row],[NameHelper]], ImgDatabase!$E:$E, 0)), "")</f>
        <v>#VALUE!</v>
      </c>
      <c r="F31" s="53" t="e" vm="348">
        <f>IFERROR(INDEX(CharacterDetailsImg[Weapon Type], MATCH(Character[[#This Row],[NameHelper]], CharacterDetailsImg[Name], 0)), "")</f>
        <v>#VALUE!</v>
      </c>
      <c r="G31" s="79">
        <f>IFERROR(INDEX(CharacterDetailsImg[Released Version], MATCH(Character[[#This Row],[NameHelper]], CharacterDetailsImg[Name], 0)), "")</f>
        <v>1.2</v>
      </c>
      <c r="H31" s="51">
        <v>90</v>
      </c>
      <c r="I31" s="41">
        <v>10</v>
      </c>
      <c r="J31" s="41">
        <v>8</v>
      </c>
      <c r="K31" s="52">
        <v>10</v>
      </c>
      <c r="M31" s="80">
        <v>81</v>
      </c>
      <c r="N31" s="80">
        <v>1</v>
      </c>
      <c r="O31" s="81">
        <v>9</v>
      </c>
      <c r="P31" s="82">
        <v>9</v>
      </c>
      <c r="R31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31" s="83" t="e" vm="166">
        <f>IF(Character[[#This Row],[Name]]="Traveler","",IFERROR(INDEX(ImgDatabase!$I:$I,MATCH(Character[[#This Row],[NameHelper]],ImgDatabase!$E:$E,0)),""))</f>
        <v>#VALUE!</v>
      </c>
      <c r="U31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31" s="85" t="e" vm="151">
        <f>IF(Character[[#This Row],[Name]]="Traveler","",IFERROR(INDEX(ImgDatabase!$K:$K, MATCH(Character[[#This Row],[NameHelper]], ImgDatabase!$E:$E, 0)), ""))</f>
        <v>#VALUE!</v>
      </c>
      <c r="X31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12</v>
      </c>
      <c r="Y31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31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31" s="92" t="e" vm="408">
        <f>IFERROR(INDEX(ImgDatabase!$J:$J, MATCH(Character[[#This Row],[NameHelper]], ImgDatabase!$E:$E, 0)), "")</f>
        <v>#VALUE!</v>
      </c>
      <c r="AC31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2</v>
      </c>
      <c r="AE31" s="63" t="e" vm="409">
        <f>IFERROR(INDEX(ImgDatabase!$M:$M, MATCH(Character[[#This Row],[NameHelper]], ImgDatabase!$E:$E, 0)), "")</f>
        <v>#VALUE!</v>
      </c>
      <c r="AF31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31" s="63" t="e" vm="169">
        <f>IFERROR(INDEX(ImgDatabase!$N:$N, MATCH(Character[[#This Row],[NameHelper]], ImgDatabase!$E:$E, 0)), "")</f>
        <v>#VALUE!</v>
      </c>
      <c r="AI31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31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31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31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31" s="64" t="e" vm="115">
        <f>IFERROR(INDEX(ImgDatabase!$L:$L, MATCH(Character[[#This Row],[NameHelper]], ImgDatabase!$E:$E, 0)), "")</f>
        <v>#VALUE!</v>
      </c>
      <c r="AO31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31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31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31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9</v>
      </c>
      <c r="AS31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31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31" s="70">
        <f t="shared" si="0"/>
        <v>9</v>
      </c>
      <c r="AV31" s="71">
        <f t="shared" si="1"/>
        <v>0</v>
      </c>
      <c r="AW31" s="72">
        <f t="shared" si="2"/>
        <v>0</v>
      </c>
      <c r="AY31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31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31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450000</v>
      </c>
      <c r="BB31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31" s="134">
        <f>SUM(Table40[[#This Row],[Ascension
Cost]:[Talent Cost
(Burst)]])</f>
        <v>450000</v>
      </c>
      <c r="BE31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31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31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31" s="75">
        <f>SUM(Table53[[#This Row],[NA]:[Burst]])</f>
        <v>0</v>
      </c>
    </row>
    <row r="32" spans="1:60" ht="30" customHeight="1" x14ac:dyDescent="0.25">
      <c r="A32" s="76">
        <f>SUBTOTAL(3,$D$3:Character[[#This Row],[NameHelper]])</f>
        <v>30</v>
      </c>
      <c r="B32" s="77" t="e" vm="836">
        <f>IFERROR(INDEX(ImgDatabase!$D:$D, MATCH(Character[[#This Row],[NameHelper]], ImgDatabase!$E:$E, 0)), "")</f>
        <v>#VALUE!</v>
      </c>
      <c r="C32" s="78" t="s">
        <v>408</v>
      </c>
      <c r="D32" s="78" t="s">
        <v>408</v>
      </c>
      <c r="E32" s="53" t="e" vm="6">
        <f>IFERROR(INDEX(ImgDatabase!$G:$G, MATCH(Character[[#This Row],[NameHelper]], ImgDatabase!$E:$E, 0)), "")</f>
        <v>#VALUE!</v>
      </c>
      <c r="F32" s="53" t="e" vm="348">
        <f>IFERROR(INDEX(CharacterDetailsImg[Weapon Type], MATCH(Character[[#This Row],[NameHelper]], CharacterDetailsImg[Name], 0)), "")</f>
        <v>#VALUE!</v>
      </c>
      <c r="G32" s="79">
        <f>IFERROR(INDEX(CharacterDetailsImg[Released Version], MATCH(Character[[#This Row],[NameHelper]], CharacterDetailsImg[Name], 0)), "")</f>
        <v>2.2999999999999998</v>
      </c>
      <c r="H32" s="51">
        <v>21</v>
      </c>
      <c r="I32" s="41">
        <v>1</v>
      </c>
      <c r="J32" s="41">
        <v>1</v>
      </c>
      <c r="K32" s="52">
        <v>1</v>
      </c>
      <c r="M32" s="80">
        <v>81</v>
      </c>
      <c r="N32" s="80">
        <v>1</v>
      </c>
      <c r="O32" s="81">
        <v>9</v>
      </c>
      <c r="P32" s="82">
        <v>9</v>
      </c>
      <c r="R32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250</v>
      </c>
      <c r="T32" s="83" t="e" vm="181">
        <f>IF(Character[[#This Row],[Name]]="Traveler","",IFERROR(INDEX(ImgDatabase!$I:$I,MATCH(Character[[#This Row],[NameHelper]],ImgDatabase!$E:$E,0)),""))</f>
        <v>#VALUE!</v>
      </c>
      <c r="U32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32" s="85" t="e" vm="74">
        <f>IF(Character[[#This Row],[Name]]="Traveler","",IFERROR(INDEX(ImgDatabase!$K:$K, MATCH(Character[[#This Row],[NameHelper]], ImgDatabase!$E:$E, 0)), ""))</f>
        <v>#VALUE!</v>
      </c>
      <c r="X32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32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32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32" s="85" t="e" vm="350">
        <f>IFERROR(INDEX(ImgDatabase!$J:$J, MATCH(Character[[#This Row],[NameHelper]], ImgDatabase!$E:$E, 0)), "")</f>
        <v>#VALUE!</v>
      </c>
      <c r="AC32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32" s="83" t="e" vm="417">
        <f>IFERROR(INDEX(ImgDatabase!$M:$M, MATCH(Character[[#This Row],[NameHelper]], ImgDatabase!$E:$E, 0)), "")</f>
        <v>#VALUE!</v>
      </c>
      <c r="AF32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32" s="83" t="e" vm="12">
        <f>IFERROR(INDEX(ImgDatabase!$N:$N, MATCH(Character[[#This Row],[NameHelper]], ImgDatabase!$E:$E, 0)), "")</f>
        <v>#VALUE!</v>
      </c>
      <c r="AI32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32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32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32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32" s="53" t="e" vm="75">
        <f>IFERROR(INDEX(ImgDatabase!$L:$L, MATCH(Character[[#This Row],[NameHelper]], ImgDatabase!$E:$E, 0)), "")</f>
        <v>#VALUE!</v>
      </c>
      <c r="AO32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32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32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32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32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32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32" s="89">
        <f t="shared" si="0"/>
        <v>74</v>
      </c>
      <c r="AV32" s="90">
        <f t="shared" si="1"/>
        <v>74</v>
      </c>
      <c r="AW32" s="91">
        <f t="shared" si="2"/>
        <v>27</v>
      </c>
      <c r="AY32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1397530</v>
      </c>
      <c r="AZ32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32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32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32" s="131">
        <f>SUM(Table40[[#This Row],[Ascension
Cost]:[Talent Cost
(Burst)]])</f>
        <v>3302530</v>
      </c>
      <c r="BE32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32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32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32" s="75">
        <f>SUM(Table53[[#This Row],[NA]:[Burst]])</f>
        <v>0</v>
      </c>
    </row>
    <row r="33" spans="1:60" ht="30" customHeight="1" x14ac:dyDescent="0.25">
      <c r="A33" s="76">
        <f>SUBTOTAL(3,$D$3:Character[[#This Row],[NameHelper]])</f>
        <v>31</v>
      </c>
      <c r="B33" s="77" t="e" vm="837">
        <f>IFERROR(INDEX(ImgDatabase!$D:$D, MATCH(Character[[#This Row],[NameHelper]], ImgDatabase!$E:$E, 0)), "")</f>
        <v>#VALUE!</v>
      </c>
      <c r="C33" s="78" t="s">
        <v>693</v>
      </c>
      <c r="D33" s="78" t="s">
        <v>553</v>
      </c>
      <c r="E33" s="53" t="e" vm="50">
        <f>IFERROR(INDEX(ImgDatabase!$G:$G, MATCH(Character[[#This Row],[NameHelper]], ImgDatabase!$E:$E, 0)), "")</f>
        <v>#VALUE!</v>
      </c>
      <c r="F33" s="53" t="e" vm="546">
        <f>IFERROR(INDEX(CharacterDetailsImg[Weapon Type], MATCH(Character[[#This Row],[NameHelper]], CharacterDetailsImg[Name], 0)), "")</f>
        <v>#VALUE!</v>
      </c>
      <c r="G33" s="79">
        <f>IFERROR(INDEX(CharacterDetailsImg[Released Version], MATCH(Character[[#This Row],[NameHelper]], CharacterDetailsImg[Name], 0)), "")</f>
        <v>1.3</v>
      </c>
      <c r="H33" s="51">
        <v>90</v>
      </c>
      <c r="I33" s="41">
        <v>10</v>
      </c>
      <c r="J33" s="41">
        <v>10</v>
      </c>
      <c r="K33" s="52">
        <v>10</v>
      </c>
      <c r="M33" s="80">
        <v>81</v>
      </c>
      <c r="N33" s="80">
        <v>1</v>
      </c>
      <c r="O33" s="81">
        <v>9</v>
      </c>
      <c r="P33" s="82">
        <v>9</v>
      </c>
      <c r="R33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33" s="83" t="e" vm="598">
        <f>IF(Character[[#This Row],[Name]]="Traveler","",IFERROR(INDEX(ImgDatabase!$I:$I,MATCH(Character[[#This Row],[NameHelper]],ImgDatabase!$E:$E,0)),""))</f>
        <v>#VALUE!</v>
      </c>
      <c r="U33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33" s="85" t="e" vm="151">
        <f>IF(Character[[#This Row],[Name]]="Traveler","",IFERROR(INDEX(ImgDatabase!$K:$K, MATCH(Character[[#This Row],[NameHelper]], ImgDatabase!$E:$E, 0)), ""))</f>
        <v>#VALUE!</v>
      </c>
      <c r="X33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33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33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33" s="92" t="e" vm="380">
        <f>IFERROR(INDEX(ImgDatabase!$J:$J, MATCH(Character[[#This Row],[NameHelper]], ImgDatabase!$E:$E, 0)), "")</f>
        <v>#VALUE!</v>
      </c>
      <c r="AC33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33" s="63" t="e" vm="339">
        <f>IFERROR(INDEX(ImgDatabase!$M:$M, MATCH(Character[[#This Row],[NameHelper]], ImgDatabase!$E:$E, 0)), "")</f>
        <v>#VALUE!</v>
      </c>
      <c r="AF33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33" s="63" t="e" vm="56">
        <f>IFERROR(INDEX(ImgDatabase!$N:$N, MATCH(Character[[#This Row],[NameHelper]], ImgDatabase!$E:$E, 0)), "")</f>
        <v>#VALUE!</v>
      </c>
      <c r="AI33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33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33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33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33" s="64" t="e" vm="115">
        <f>IFERROR(INDEX(ImgDatabase!$L:$L, MATCH(Character[[#This Row],[NameHelper]], ImgDatabase!$E:$E, 0)), "")</f>
        <v>#VALUE!</v>
      </c>
      <c r="AO33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33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33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33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33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33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33" s="70">
        <f t="shared" si="0"/>
        <v>0</v>
      </c>
      <c r="AV33" s="71">
        <f t="shared" si="1"/>
        <v>0</v>
      </c>
      <c r="AW33" s="72">
        <f t="shared" si="2"/>
        <v>0</v>
      </c>
      <c r="AY33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33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33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33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33" s="134">
        <f>SUM(Table40[[#This Row],[Ascension
Cost]:[Talent Cost
(Burst)]])</f>
        <v>0</v>
      </c>
      <c r="BE33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33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33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33" s="75">
        <f>SUM(Table53[[#This Row],[NA]:[Burst]])</f>
        <v>0</v>
      </c>
    </row>
    <row r="34" spans="1:60" ht="30" customHeight="1" x14ac:dyDescent="0.25">
      <c r="A34" s="76">
        <f>SUBTOTAL(3,$D$3:Character[[#This Row],[NameHelper]])</f>
        <v>32</v>
      </c>
      <c r="B34" s="77" t="e" vm="838">
        <f>IFERROR(INDEX(ImgDatabase!$D:$D, MATCH(Character[[#This Row],[NameHelper]], ImgDatabase!$E:$E, 0)), "")</f>
        <v>#VALUE!</v>
      </c>
      <c r="C34" s="78" t="s">
        <v>158</v>
      </c>
      <c r="D34" s="78" t="s">
        <v>158</v>
      </c>
      <c r="E34" s="53" t="e" vm="131">
        <f>IFERROR(INDEX(ImgDatabase!$G:$G, MATCH(Character[[#This Row],[NameHelper]], ImgDatabase!$E:$E, 0)), "")</f>
        <v>#VALUE!</v>
      </c>
      <c r="F34" s="53" t="e" vm="5">
        <f>IFERROR(INDEX(CharacterDetailsImg[Weapon Type], MATCH(Character[[#This Row],[NameHelper]], CharacterDetailsImg[Name], 0)), "")</f>
        <v>#VALUE!</v>
      </c>
      <c r="G34" s="79">
        <f>IFERROR(INDEX(CharacterDetailsImg[Released Version], MATCH(Character[[#This Row],[NameHelper]], CharacterDetailsImg[Name], 0)), "")</f>
        <v>1</v>
      </c>
      <c r="H34" s="51">
        <v>40</v>
      </c>
      <c r="I34" s="41">
        <v>1</v>
      </c>
      <c r="J34" s="41">
        <v>1</v>
      </c>
      <c r="K34" s="52">
        <v>1</v>
      </c>
      <c r="M34" s="80">
        <v>81</v>
      </c>
      <c r="N34" s="80">
        <v>1</v>
      </c>
      <c r="O34" s="81">
        <v>9</v>
      </c>
      <c r="P34" s="82">
        <v>9</v>
      </c>
      <c r="R34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222</v>
      </c>
      <c r="T34" s="83" t="e" vm="132">
        <f>IF(Character[[#This Row],[Name]]="Traveler","",IFERROR(INDEX(ImgDatabase!$I:$I,MATCH(Character[[#This Row],[NameHelper]],ImgDatabase!$E:$E,0)),""))</f>
        <v>#VALUE!</v>
      </c>
      <c r="U34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34" s="85" t="e" vm="53">
        <f>IF(Character[[#This Row],[Name]]="Traveler","",IFERROR(INDEX(ImgDatabase!$K:$K, MATCH(Character[[#This Row],[NameHelper]], ImgDatabase!$E:$E, 0)), ""))</f>
        <v>#VALUE!</v>
      </c>
      <c r="X34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34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34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34" s="85" t="e" vm="52">
        <f>IFERROR(INDEX(ImgDatabase!$J:$J, MATCH(Character[[#This Row],[NameHelper]], ImgDatabase!$E:$E, 0)), "")</f>
        <v>#VALUE!</v>
      </c>
      <c r="AC34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34" s="83" t="e" vm="134">
        <f>IFERROR(INDEX(ImgDatabase!$M:$M, MATCH(Character[[#This Row],[NameHelper]], ImgDatabase!$E:$E, 0)), "")</f>
        <v>#VALUE!</v>
      </c>
      <c r="AF34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34" s="83" t="e" vm="135">
        <f>IFERROR(INDEX(ImgDatabase!$N:$N, MATCH(Character[[#This Row],[NameHelper]], ImgDatabase!$E:$E, 0)), "")</f>
        <v>#VALUE!</v>
      </c>
      <c r="AI34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34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34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34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34" s="53" t="e" vm="133">
        <f>IFERROR(INDEX(ImgDatabase!$L:$L, MATCH(Character[[#This Row],[NameHelper]], ImgDatabase!$E:$E, 0)), "")</f>
        <v>#VALUE!</v>
      </c>
      <c r="AO34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34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34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34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34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34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34" s="89">
        <f t="shared" si="0"/>
        <v>74</v>
      </c>
      <c r="AV34" s="90">
        <f t="shared" si="1"/>
        <v>74</v>
      </c>
      <c r="AW34" s="91">
        <f t="shared" si="2"/>
        <v>27</v>
      </c>
      <c r="AY34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1284840</v>
      </c>
      <c r="AZ34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34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34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34" s="131">
        <f>SUM(Table40[[#This Row],[Ascension
Cost]:[Talent Cost
(Burst)]])</f>
        <v>3189840</v>
      </c>
      <c r="BE34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34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34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34" s="75">
        <f>SUM(Table53[[#This Row],[NA]:[Burst]])</f>
        <v>0</v>
      </c>
    </row>
    <row r="35" spans="1:60" ht="30" customHeight="1" x14ac:dyDescent="0.25">
      <c r="A35" s="76">
        <f>SUBTOTAL(3,$D$3:Character[[#This Row],[NameHelper]])</f>
        <v>33</v>
      </c>
      <c r="B35" s="77" t="e" vm="839">
        <f>IFERROR(INDEX(ImgDatabase!$D:$D, MATCH(Character[[#This Row],[NameHelper]], ImgDatabase!$E:$E, 0)), "")</f>
        <v>#VALUE!</v>
      </c>
      <c r="C35" s="78" t="s">
        <v>180</v>
      </c>
      <c r="D35" s="78" t="s">
        <v>180</v>
      </c>
      <c r="E35" s="53" t="e" vm="165">
        <f>IFERROR(INDEX(ImgDatabase!$G:$G, MATCH(Character[[#This Row],[NameHelper]], ImgDatabase!$E:$E, 0)), "")</f>
        <v>#VALUE!</v>
      </c>
      <c r="F35" s="53" t="e" vm="5">
        <f>IFERROR(INDEX(CharacterDetailsImg[Weapon Type], MATCH(Character[[#This Row],[NameHelper]], CharacterDetailsImg[Name], 0)), "")</f>
        <v>#VALUE!</v>
      </c>
      <c r="G35" s="79">
        <f>IFERROR(INDEX(CharacterDetailsImg[Released Version], MATCH(Character[[#This Row],[NameHelper]], CharacterDetailsImg[Name], 0)), "")</f>
        <v>2</v>
      </c>
      <c r="H35" s="51">
        <v>40</v>
      </c>
      <c r="I35" s="41">
        <v>1</v>
      </c>
      <c r="J35" s="41">
        <v>1</v>
      </c>
      <c r="K35" s="52">
        <v>1</v>
      </c>
      <c r="M35" s="80">
        <v>81</v>
      </c>
      <c r="N35" s="80">
        <v>1</v>
      </c>
      <c r="O35" s="81">
        <v>9</v>
      </c>
      <c r="P35" s="82">
        <v>9</v>
      </c>
      <c r="R35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222</v>
      </c>
      <c r="T35" s="83" t="e" vm="166">
        <f>IF(Character[[#This Row],[Name]]="Traveler","",IFERROR(INDEX(ImgDatabase!$I:$I,MATCH(Character[[#This Row],[NameHelper]],ImgDatabase!$E:$E,0)),""))</f>
        <v>#VALUE!</v>
      </c>
      <c r="U35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35" s="85" t="e" vm="9">
        <f>IF(Character[[#This Row],[Name]]="Traveler","",IFERROR(INDEX(ImgDatabase!$K:$K, MATCH(Character[[#This Row],[NameHelper]], ImgDatabase!$E:$E, 0)), ""))</f>
        <v>#VALUE!</v>
      </c>
      <c r="X35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35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35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35" s="92" t="e" vm="167">
        <f>IFERROR(INDEX(ImgDatabase!$J:$J, MATCH(Character[[#This Row],[NameHelper]], ImgDatabase!$E:$E, 0)), "")</f>
        <v>#VALUE!</v>
      </c>
      <c r="AC35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35" s="63" t="e" vm="168">
        <f>IFERROR(INDEX(ImgDatabase!$M:$M, MATCH(Character[[#This Row],[NameHelper]], ImgDatabase!$E:$E, 0)), "")</f>
        <v>#VALUE!</v>
      </c>
      <c r="AF35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35" s="63" t="e" vm="169">
        <f>IFERROR(INDEX(ImgDatabase!$N:$N, MATCH(Character[[#This Row],[NameHelper]], ImgDatabase!$E:$E, 0)), "")</f>
        <v>#VALUE!</v>
      </c>
      <c r="AI35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35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35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35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35" s="64" t="e" vm="54">
        <f>IFERROR(INDEX(ImgDatabase!$L:$L, MATCH(Character[[#This Row],[NameHelper]], ImgDatabase!$E:$E, 0)), "")</f>
        <v>#VALUE!</v>
      </c>
      <c r="AO35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35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35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35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35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35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35" s="70">
        <f t="shared" ref="AU35:AU66" si="3">SUM(AO35,AR35)</f>
        <v>74</v>
      </c>
      <c r="AV35" s="71">
        <f t="shared" ref="AV35:AV66" si="4">SUM(AP35,AS35)</f>
        <v>74</v>
      </c>
      <c r="AW35" s="72">
        <f t="shared" ref="AW35:AW66" si="5">SUM(AQ35,AT35)</f>
        <v>27</v>
      </c>
      <c r="AY35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1284840</v>
      </c>
      <c r="AZ35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35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35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35" s="134">
        <f>SUM(Table40[[#This Row],[Ascension
Cost]:[Talent Cost
(Burst)]])</f>
        <v>3189840</v>
      </c>
      <c r="BE35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35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35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35" s="75">
        <f>SUM(Table53[[#This Row],[NA]:[Burst]])</f>
        <v>0</v>
      </c>
    </row>
    <row r="36" spans="1:60" ht="30" customHeight="1" x14ac:dyDescent="0.25">
      <c r="A36" s="76">
        <f>SUBTOTAL(3,$D$3:Character[[#This Row],[NameHelper]])</f>
        <v>34</v>
      </c>
      <c r="B36" s="77" t="e" vm="840">
        <f>IFERROR(INDEX(ImgDatabase!$D:$D, MATCH(Character[[#This Row],[NameHelper]], ImgDatabase!$E:$E, 0)), "")</f>
        <v>#VALUE!</v>
      </c>
      <c r="C36" s="78" t="s">
        <v>694</v>
      </c>
      <c r="D36" s="78" t="s">
        <v>189</v>
      </c>
      <c r="E36" s="53" t="e" vm="165">
        <f>IFERROR(INDEX(ImgDatabase!$G:$G, MATCH(Character[[#This Row],[NameHelper]], ImgDatabase!$E:$E, 0)), "")</f>
        <v>#VALUE!</v>
      </c>
      <c r="F36" s="53" t="e" vm="5">
        <f>IFERROR(INDEX(CharacterDetailsImg[Weapon Type], MATCH(Character[[#This Row],[NameHelper]], CharacterDetailsImg[Name], 0)), "")</f>
        <v>#VALUE!</v>
      </c>
      <c r="G36" s="79">
        <f>IFERROR(INDEX(CharacterDetailsImg[Released Version], MATCH(Character[[#This Row],[NameHelper]], CharacterDetailsImg[Name], 0)), "")</f>
        <v>2.6</v>
      </c>
      <c r="H36" s="51">
        <v>90</v>
      </c>
      <c r="I36" s="41">
        <v>10</v>
      </c>
      <c r="J36" s="41">
        <v>10</v>
      </c>
      <c r="K36" s="52">
        <v>10</v>
      </c>
      <c r="M36" s="80">
        <v>81</v>
      </c>
      <c r="N36" s="80">
        <v>1</v>
      </c>
      <c r="O36" s="81">
        <v>9</v>
      </c>
      <c r="P36" s="82">
        <v>9</v>
      </c>
      <c r="R36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36" s="83" t="e" vm="181">
        <f>IF(Character[[#This Row],[Name]]="Traveler","",IFERROR(INDEX(ImgDatabase!$I:$I,MATCH(Character[[#This Row],[NameHelper]],ImgDatabase!$E:$E,0)),""))</f>
        <v>#VALUE!</v>
      </c>
      <c r="U36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36" s="85" t="e" vm="183">
        <f>IF(Character[[#This Row],[Name]]="Traveler","",IFERROR(INDEX(ImgDatabase!$K:$K, MATCH(Character[[#This Row],[NameHelper]], ImgDatabase!$E:$E, 0)), ""))</f>
        <v>#VALUE!</v>
      </c>
      <c r="X36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36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36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36" s="85" t="e" vm="182">
        <f>IFERROR(INDEX(ImgDatabase!$J:$J, MATCH(Character[[#This Row],[NameHelper]], ImgDatabase!$E:$E, 0)), "")</f>
        <v>#VALUE!</v>
      </c>
      <c r="AC36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36" s="83" t="e" vm="185">
        <f>IFERROR(INDEX(ImgDatabase!$M:$M, MATCH(Character[[#This Row],[NameHelper]], ImgDatabase!$E:$E, 0)), "")</f>
        <v>#VALUE!</v>
      </c>
      <c r="AF36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36" s="83" t="e" vm="169">
        <f>IFERROR(INDEX(ImgDatabase!$N:$N, MATCH(Character[[#This Row],[NameHelper]], ImgDatabase!$E:$E, 0)), "")</f>
        <v>#VALUE!</v>
      </c>
      <c r="AI36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36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36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36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36" s="53" t="e" vm="184">
        <f>IFERROR(INDEX(ImgDatabase!$L:$L, MATCH(Character[[#This Row],[NameHelper]], ImgDatabase!$E:$E, 0)), "")</f>
        <v>#VALUE!</v>
      </c>
      <c r="AO36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36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36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36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36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36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36" s="89">
        <f t="shared" si="3"/>
        <v>0</v>
      </c>
      <c r="AV36" s="90">
        <f t="shared" si="4"/>
        <v>0</v>
      </c>
      <c r="AW36" s="91">
        <f t="shared" si="5"/>
        <v>0</v>
      </c>
      <c r="AY36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36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36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36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36" s="131">
        <f>SUM(Table40[[#This Row],[Ascension
Cost]:[Talent Cost
(Burst)]])</f>
        <v>0</v>
      </c>
      <c r="BE36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36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36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36" s="75">
        <f>SUM(Table53[[#This Row],[NA]:[Burst]])</f>
        <v>0</v>
      </c>
    </row>
    <row r="37" spans="1:60" ht="30" customHeight="1" x14ac:dyDescent="0.25">
      <c r="A37" s="76">
        <f>SUBTOTAL(3,$D$3:Character[[#This Row],[NameHelper]])</f>
        <v>35</v>
      </c>
      <c r="B37" s="77" t="e" vm="841">
        <f>IFERROR(INDEX(ImgDatabase!$D:$D, MATCH(Character[[#This Row],[NameHelper]], ImgDatabase!$E:$E, 0)), "")</f>
        <v>#VALUE!</v>
      </c>
      <c r="C37" s="78" t="s">
        <v>695</v>
      </c>
      <c r="D37" s="78" t="s">
        <v>200</v>
      </c>
      <c r="E37" s="53" t="e" vm="112">
        <f>IFERROR(INDEX(ImgDatabase!$G:$G, MATCH(Character[[#This Row],[NameHelper]], ImgDatabase!$E:$E, 0)), "")</f>
        <v>#VALUE!</v>
      </c>
      <c r="F37" s="53" t="e" vm="5">
        <f>IFERROR(INDEX(CharacterDetailsImg[Weapon Type], MATCH(Character[[#This Row],[NameHelper]], CharacterDetailsImg[Name], 0)), "")</f>
        <v>#VALUE!</v>
      </c>
      <c r="G37" s="79">
        <f>IFERROR(INDEX(CharacterDetailsImg[Released Version], MATCH(Character[[#This Row],[NameHelper]], CharacterDetailsImg[Name], 0)), "")</f>
        <v>3.6</v>
      </c>
      <c r="H37" s="51">
        <v>0</v>
      </c>
      <c r="I37" s="41">
        <v>0</v>
      </c>
      <c r="J37" s="41">
        <v>0</v>
      </c>
      <c r="K37" s="52">
        <v>0</v>
      </c>
      <c r="M37" s="80">
        <v>81</v>
      </c>
      <c r="N37" s="80">
        <v>1</v>
      </c>
      <c r="O37" s="81">
        <v>9</v>
      </c>
      <c r="P37" s="82">
        <v>9</v>
      </c>
      <c r="R37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37" s="83" t="e" vm="197">
        <f>IF(Character[[#This Row],[Name]]="Traveler","",IFERROR(INDEX(ImgDatabase!$I:$I,MATCH(Character[[#This Row],[NameHelper]],ImgDatabase!$E:$E,0)),""))</f>
        <v>#VALUE!</v>
      </c>
      <c r="U37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37" s="85" t="e" vm="183">
        <f>IF(Character[[#This Row],[Name]]="Traveler","",IFERROR(INDEX(ImgDatabase!$K:$K, MATCH(Character[[#This Row],[NameHelper]], ImgDatabase!$E:$E, 0)), ""))</f>
        <v>#VALUE!</v>
      </c>
      <c r="X37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37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37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37" s="92" t="e" vm="198">
        <f>IFERROR(INDEX(ImgDatabase!$J:$J, MATCH(Character[[#This Row],[NameHelper]], ImgDatabase!$E:$E, 0)), "")</f>
        <v>#VALUE!</v>
      </c>
      <c r="AC37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37" s="63" t="e" vm="185">
        <f>IFERROR(INDEX(ImgDatabase!$M:$M, MATCH(Character[[#This Row],[NameHelper]], ImgDatabase!$E:$E, 0)), "")</f>
        <v>#VALUE!</v>
      </c>
      <c r="AF37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37" s="63" t="e" vm="117">
        <f>IFERROR(INDEX(ImgDatabase!$N:$N, MATCH(Character[[#This Row],[NameHelper]], ImgDatabase!$E:$E, 0)), "")</f>
        <v>#VALUE!</v>
      </c>
      <c r="AI37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37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37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37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37" s="64" t="e" vm="184">
        <f>IFERROR(INDEX(ImgDatabase!$L:$L, MATCH(Character[[#This Row],[NameHelper]], ImgDatabase!$E:$E, 0)), "")</f>
        <v>#VALUE!</v>
      </c>
      <c r="AO37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37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37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37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37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37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37" s="70">
        <f t="shared" si="3"/>
        <v>0</v>
      </c>
      <c r="AV37" s="71">
        <f t="shared" si="4"/>
        <v>0</v>
      </c>
      <c r="AW37" s="72">
        <f t="shared" si="5"/>
        <v>0</v>
      </c>
      <c r="AY37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37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37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37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37" s="134">
        <f>SUM(Table40[[#This Row],[Ascension
Cost]:[Talent Cost
(Burst)]])</f>
        <v>0</v>
      </c>
      <c r="BE37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37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37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37" s="75">
        <f>SUM(Table53[[#This Row],[NA]:[Burst]])</f>
        <v>0</v>
      </c>
    </row>
    <row r="38" spans="1:60" ht="30" customHeight="1" x14ac:dyDescent="0.25">
      <c r="A38" s="76">
        <f>SUBTOTAL(3,$D$3:Character[[#This Row],[NameHelper]])</f>
        <v>36</v>
      </c>
      <c r="B38" s="77" t="e" vm="842">
        <f>IFERROR(INDEX(ImgDatabase!$D:$D, MATCH(Character[[#This Row],[NameHelper]], ImgDatabase!$E:$E, 0)), "")</f>
        <v>#VALUE!</v>
      </c>
      <c r="C38" s="78" t="s">
        <v>490</v>
      </c>
      <c r="D38" s="78" t="s">
        <v>490</v>
      </c>
      <c r="E38" s="53" t="e" vm="28">
        <f>IFERROR(INDEX(ImgDatabase!$G:$G, MATCH(Character[[#This Row],[NameHelper]], ImgDatabase!$E:$E, 0)), "")</f>
        <v>#VALUE!</v>
      </c>
      <c r="F38" s="53" t="e" vm="479">
        <f>IFERROR(INDEX(CharacterDetailsImg[Weapon Type], MATCH(Character[[#This Row],[NameHelper]], CharacterDetailsImg[Name], 0)), "")</f>
        <v>#VALUE!</v>
      </c>
      <c r="G38" s="79">
        <f>IFERROR(INDEX(CharacterDetailsImg[Released Version], MATCH(Character[[#This Row],[NameHelper]], CharacterDetailsImg[Name], 0)), "")</f>
        <v>1.6</v>
      </c>
      <c r="H38" s="51">
        <v>22</v>
      </c>
      <c r="I38" s="41">
        <v>1</v>
      </c>
      <c r="J38" s="41">
        <v>1</v>
      </c>
      <c r="K38" s="52">
        <v>1</v>
      </c>
      <c r="M38" s="80">
        <v>81</v>
      </c>
      <c r="N38" s="80">
        <v>1</v>
      </c>
      <c r="O38" s="81">
        <v>9</v>
      </c>
      <c r="P38" s="82">
        <v>9</v>
      </c>
      <c r="R38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249</v>
      </c>
      <c r="T38" s="83" t="e" vm="522">
        <f>IF(Character[[#This Row],[Name]]="Traveler","",IFERROR(INDEX(ImgDatabase!$I:$I,MATCH(Character[[#This Row],[NameHelper]],ImgDatabase!$E:$E,0)),""))</f>
        <v>#VALUE!</v>
      </c>
      <c r="U38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38" s="85" t="e" vm="31">
        <f>IF(Character[[#This Row],[Name]]="Traveler","",IFERROR(INDEX(ImgDatabase!$K:$K, MATCH(Character[[#This Row],[NameHelper]], ImgDatabase!$E:$E, 0)), ""))</f>
        <v>#VALUE!</v>
      </c>
      <c r="X38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38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38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38" s="85" t="e" vm="433">
        <f>IFERROR(INDEX(ImgDatabase!$J:$J, MATCH(Character[[#This Row],[NameHelper]], ImgDatabase!$E:$E, 0)), "")</f>
        <v>#VALUE!</v>
      </c>
      <c r="AC38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38" s="83" t="e" vm="523">
        <f>IFERROR(INDEX(ImgDatabase!$M:$M, MATCH(Character[[#This Row],[NameHelper]], ImgDatabase!$E:$E, 0)), "")</f>
        <v>#VALUE!</v>
      </c>
      <c r="AF38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38" s="83" t="e" vm="34">
        <f>IFERROR(INDEX(ImgDatabase!$N:$N, MATCH(Character[[#This Row],[NameHelper]], ImgDatabase!$E:$E, 0)), "")</f>
        <v>#VALUE!</v>
      </c>
      <c r="AI38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38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38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38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38" s="53" t="e" vm="272">
        <f>IFERROR(INDEX(ImgDatabase!$L:$L, MATCH(Character[[#This Row],[NameHelper]], ImgDatabase!$E:$E, 0)), "")</f>
        <v>#VALUE!</v>
      </c>
      <c r="AO38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38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38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38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38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38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38" s="89">
        <f t="shared" si="3"/>
        <v>74</v>
      </c>
      <c r="AV38" s="90">
        <f t="shared" si="4"/>
        <v>74</v>
      </c>
      <c r="AW38" s="91">
        <f t="shared" si="5"/>
        <v>27</v>
      </c>
      <c r="AY38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1394170</v>
      </c>
      <c r="AZ38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38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38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38" s="131">
        <f>SUM(Table40[[#This Row],[Ascension
Cost]:[Talent Cost
(Burst)]])</f>
        <v>3299170</v>
      </c>
      <c r="BE38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38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38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38" s="75">
        <f>SUM(Table53[[#This Row],[NA]:[Burst]])</f>
        <v>0</v>
      </c>
    </row>
    <row r="39" spans="1:60" ht="30" customHeight="1" x14ac:dyDescent="0.25">
      <c r="A39" s="76">
        <f>SUBTOTAL(3,$D$3:Character[[#This Row],[NameHelper]])</f>
        <v>37</v>
      </c>
      <c r="B39" s="77" t="e" vm="843">
        <f>IFERROR(INDEX(ImgDatabase!$D:$D, MATCH(Character[[#This Row],[NameHelper]], ImgDatabase!$E:$E, 0)), "")</f>
        <v>#VALUE!</v>
      </c>
      <c r="C39" s="78" t="s">
        <v>696</v>
      </c>
      <c r="D39" s="78" t="s">
        <v>171</v>
      </c>
      <c r="E39" s="53" t="e" vm="131">
        <f>IFERROR(INDEX(ImgDatabase!$G:$G, MATCH(Character[[#This Row],[NameHelper]], ImgDatabase!$E:$E, 0)), "")</f>
        <v>#VALUE!</v>
      </c>
      <c r="F39" s="53" t="e" vm="5">
        <f>IFERROR(INDEX(CharacterDetailsImg[Weapon Type], MATCH(Character[[#This Row],[NameHelper]], CharacterDetailsImg[Name], 0)), "")</f>
        <v>#VALUE!</v>
      </c>
      <c r="G39" s="79">
        <f>IFERROR(INDEX(CharacterDetailsImg[Released Version], MATCH(Character[[#This Row],[NameHelper]], CharacterDetailsImg[Name], 0)), "")</f>
        <v>1</v>
      </c>
      <c r="H39" s="51">
        <v>90</v>
      </c>
      <c r="I39" s="41">
        <v>1</v>
      </c>
      <c r="J39" s="41">
        <v>9</v>
      </c>
      <c r="K39" s="52">
        <v>9</v>
      </c>
      <c r="M39" s="80">
        <v>81</v>
      </c>
      <c r="N39" s="80">
        <v>1</v>
      </c>
      <c r="O39" s="81">
        <v>9</v>
      </c>
      <c r="P39" s="82">
        <v>9</v>
      </c>
      <c r="R39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39" s="83" t="e" vm="149">
        <f>IF(Character[[#This Row],[Name]]="Traveler","",IFERROR(INDEX(ImgDatabase!$I:$I,MATCH(Character[[#This Row],[NameHelper]],ImgDatabase!$E:$E,0)),""))</f>
        <v>#VALUE!</v>
      </c>
      <c r="U39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39" s="85" t="e" vm="151">
        <f>IF(Character[[#This Row],[Name]]="Traveler","",IFERROR(INDEX(ImgDatabase!$K:$K, MATCH(Character[[#This Row],[NameHelper]], ImgDatabase!$E:$E, 0)), ""))</f>
        <v>#VALUE!</v>
      </c>
      <c r="X39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39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39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39" s="92" t="e" vm="150">
        <f>IFERROR(INDEX(ImgDatabase!$J:$J, MATCH(Character[[#This Row],[NameHelper]], ImgDatabase!$E:$E, 0)), "")</f>
        <v>#VALUE!</v>
      </c>
      <c r="AC39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39" s="63" t="e" vm="152">
        <f>IFERROR(INDEX(ImgDatabase!$M:$M, MATCH(Character[[#This Row],[NameHelper]], ImgDatabase!$E:$E, 0)), "")</f>
        <v>#VALUE!</v>
      </c>
      <c r="AF39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39" s="63" t="e" vm="135">
        <f>IFERROR(INDEX(ImgDatabase!$N:$N, MATCH(Character[[#This Row],[NameHelper]], ImgDatabase!$E:$E, 0)), "")</f>
        <v>#VALUE!</v>
      </c>
      <c r="AI39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39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39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39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39" s="64" t="e" vm="54">
        <f>IFERROR(INDEX(ImgDatabase!$L:$L, MATCH(Character[[#This Row],[NameHelper]], ImgDatabase!$E:$E, 0)), "")</f>
        <v>#VALUE!</v>
      </c>
      <c r="AO39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39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39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39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39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39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39" s="70">
        <f t="shared" si="3"/>
        <v>0</v>
      </c>
      <c r="AV39" s="71">
        <f t="shared" si="4"/>
        <v>0</v>
      </c>
      <c r="AW39" s="72">
        <f t="shared" si="5"/>
        <v>0</v>
      </c>
      <c r="AY39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39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39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39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39" s="134">
        <f>SUM(Table40[[#This Row],[Ascension
Cost]:[Talent Cost
(Burst)]])</f>
        <v>0</v>
      </c>
      <c r="BE39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39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39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39" s="75">
        <f>SUM(Table53[[#This Row],[NA]:[Burst]])</f>
        <v>0</v>
      </c>
    </row>
    <row r="40" spans="1:60" ht="30" customHeight="1" x14ac:dyDescent="0.25">
      <c r="A40" s="76">
        <f>SUBTOTAL(3,$D$3:Character[[#This Row],[NameHelper]])</f>
        <v>38</v>
      </c>
      <c r="B40" s="77" t="e" vm="844">
        <f>IFERROR(INDEX(ImgDatabase!$D:$D, MATCH(Character[[#This Row],[NameHelper]], ImgDatabase!$E:$E, 0)), "")</f>
        <v>#VALUE!</v>
      </c>
      <c r="C40" s="78" t="s">
        <v>209</v>
      </c>
      <c r="D40" s="78" t="s">
        <v>209</v>
      </c>
      <c r="E40" s="53" t="e" vm="91">
        <f>IFERROR(INDEX(ImgDatabase!$G:$G, MATCH(Character[[#This Row],[NameHelper]], ImgDatabase!$E:$E, 0)), "")</f>
        <v>#VALUE!</v>
      </c>
      <c r="F40" s="53" t="e" vm="5">
        <f>IFERROR(INDEX(CharacterDetailsImg[Weapon Type], MATCH(Character[[#This Row],[NameHelper]], CharacterDetailsImg[Name], 0)), "")</f>
        <v>#VALUE!</v>
      </c>
      <c r="G40" s="79">
        <f>IFERROR(INDEX(CharacterDetailsImg[Released Version], MATCH(Character[[#This Row],[NameHelper]], CharacterDetailsImg[Name], 0)), "")</f>
        <v>1</v>
      </c>
      <c r="H40" s="51">
        <v>70</v>
      </c>
      <c r="I40" s="41">
        <v>5</v>
      </c>
      <c r="J40" s="41">
        <v>5</v>
      </c>
      <c r="K40" s="52">
        <v>6</v>
      </c>
      <c r="M40" s="80">
        <v>81</v>
      </c>
      <c r="N40" s="80">
        <v>1</v>
      </c>
      <c r="O40" s="81">
        <v>9</v>
      </c>
      <c r="P40" s="82">
        <v>9</v>
      </c>
      <c r="R40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90</v>
      </c>
      <c r="T40" s="83" t="e" vm="210">
        <f>IF(Character[[#This Row],[Name]]="Traveler","",IFERROR(INDEX(ImgDatabase!$I:$I,MATCH(Character[[#This Row],[NameHelper]],ImgDatabase!$E:$E,0)),""))</f>
        <v>#VALUE!</v>
      </c>
      <c r="U40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32</v>
      </c>
      <c r="W40" s="85" t="e" vm="212">
        <f>IF(Character[[#This Row],[Name]]="Traveler","",IFERROR(INDEX(ImgDatabase!$K:$K, MATCH(Character[[#This Row],[NameHelper]], ImgDatabase!$E:$E, 0)), ""))</f>
        <v>#VALUE!</v>
      </c>
      <c r="X40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40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9</v>
      </c>
      <c r="Z40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40" s="85" t="e" vm="211">
        <f>IFERROR(INDEX(ImgDatabase!$J:$J, MATCH(Character[[#This Row],[NameHelper]], ImgDatabase!$E:$E, 0)), "")</f>
        <v>#VALUE!</v>
      </c>
      <c r="AC40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40" s="83" t="e" vm="213">
        <f>IFERROR(INDEX(ImgDatabase!$M:$M, MATCH(Character[[#This Row],[NameHelper]], ImgDatabase!$E:$E, 0)), "")</f>
        <v>#VALUE!</v>
      </c>
      <c r="AF40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105</v>
      </c>
      <c r="AH40" s="83" t="e" vm="97">
        <f>IFERROR(INDEX(ImgDatabase!$N:$N, MATCH(Character[[#This Row],[NameHelper]], ImgDatabase!$E:$E, 0)), "")</f>
        <v>#VALUE!</v>
      </c>
      <c r="AI40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40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6</v>
      </c>
      <c r="AK40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40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40" s="53" t="e" vm="115">
        <f>IFERROR(INDEX(ImgDatabase!$L:$L, MATCH(Character[[#This Row],[NameHelper]], ImgDatabase!$E:$E, 0)), "")</f>
        <v>#VALUE!</v>
      </c>
      <c r="AO40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40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40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40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40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9</v>
      </c>
      <c r="AT40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40" s="89">
        <f t="shared" si="3"/>
        <v>74</v>
      </c>
      <c r="AV40" s="90">
        <f t="shared" si="4"/>
        <v>9</v>
      </c>
      <c r="AW40" s="91">
        <f t="shared" si="5"/>
        <v>0</v>
      </c>
      <c r="AY40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579010</v>
      </c>
      <c r="AZ40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40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867500</v>
      </c>
      <c r="BB40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830000</v>
      </c>
      <c r="BC40" s="131">
        <f>SUM(Table40[[#This Row],[Ascension
Cost]:[Talent Cost
(Burst)]])</f>
        <v>2276510</v>
      </c>
      <c r="BE40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40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40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40" s="75">
        <f>SUM(Table53[[#This Row],[NA]:[Burst]])</f>
        <v>0</v>
      </c>
    </row>
    <row r="41" spans="1:60" ht="30" customHeight="1" x14ac:dyDescent="0.25">
      <c r="A41" s="76">
        <f>SUBTOTAL(3,$D$3:Character[[#This Row],[NameHelper]])</f>
        <v>39</v>
      </c>
      <c r="B41" s="77" t="e" vm="845">
        <f>IFERROR(INDEX(ImgDatabase!$D:$D, MATCH(Character[[#This Row],[NameHelper]], ImgDatabase!$E:$E, 0)), "")</f>
        <v>#VALUE!</v>
      </c>
      <c r="C41" s="78" t="s">
        <v>218</v>
      </c>
      <c r="D41" s="78" t="s">
        <v>218</v>
      </c>
      <c r="E41" s="53" t="e" vm="28">
        <f>IFERROR(INDEX(ImgDatabase!$G:$G, MATCH(Character[[#This Row],[NameHelper]], ImgDatabase!$E:$E, 0)), "")</f>
        <v>#VALUE!</v>
      </c>
      <c r="F41" s="53" t="e" vm="5">
        <f>IFERROR(INDEX(CharacterDetailsImg[Weapon Type], MATCH(Character[[#This Row],[NameHelper]], CharacterDetailsImg[Name], 0)), "")</f>
        <v>#VALUE!</v>
      </c>
      <c r="G41" s="79">
        <f>IFERROR(INDEX(CharacterDetailsImg[Released Version], MATCH(Character[[#This Row],[NameHelper]], CharacterDetailsImg[Name], 0)), "")</f>
        <v>3.7</v>
      </c>
      <c r="H41" s="51">
        <v>21</v>
      </c>
      <c r="I41" s="41">
        <v>1</v>
      </c>
      <c r="J41" s="41">
        <v>1</v>
      </c>
      <c r="K41" s="52">
        <v>1</v>
      </c>
      <c r="M41" s="80">
        <v>81</v>
      </c>
      <c r="N41" s="80">
        <v>1</v>
      </c>
      <c r="O41" s="81">
        <v>9</v>
      </c>
      <c r="P41" s="82">
        <v>9</v>
      </c>
      <c r="R41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250</v>
      </c>
      <c r="T41" s="83" t="e" vm="225">
        <f>IF(Character[[#This Row],[Name]]="Traveler","",IFERROR(INDEX(ImgDatabase!$I:$I,MATCH(Character[[#This Row],[NameHelper]],ImgDatabase!$E:$E,0)),""))</f>
        <v>#VALUE!</v>
      </c>
      <c r="U41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41" s="85" t="e" vm="226">
        <f>IF(Character[[#This Row],[Name]]="Traveler","",IFERROR(INDEX(ImgDatabase!$K:$K, MATCH(Character[[#This Row],[NameHelper]], ImgDatabase!$E:$E, 0)), ""))</f>
        <v>#VALUE!</v>
      </c>
      <c r="X41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41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41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41" s="92" t="e" vm="93">
        <f>IFERROR(INDEX(ImgDatabase!$J:$J, MATCH(Character[[#This Row],[NameHelper]], ImgDatabase!$E:$E, 0)), "")</f>
        <v>#VALUE!</v>
      </c>
      <c r="AC41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41" s="63" t="e" vm="227">
        <f>IFERROR(INDEX(ImgDatabase!$M:$M, MATCH(Character[[#This Row],[NameHelper]], ImgDatabase!$E:$E, 0)), "")</f>
        <v>#VALUE!</v>
      </c>
      <c r="AF41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41" s="63" t="e" vm="34">
        <f>IFERROR(INDEX(ImgDatabase!$N:$N, MATCH(Character[[#This Row],[NameHelper]], ImgDatabase!$E:$E, 0)), "")</f>
        <v>#VALUE!</v>
      </c>
      <c r="AI41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41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41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41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41" s="64" t="e" vm="75">
        <f>IFERROR(INDEX(ImgDatabase!$L:$L, MATCH(Character[[#This Row],[NameHelper]], ImgDatabase!$E:$E, 0)), "")</f>
        <v>#VALUE!</v>
      </c>
      <c r="AO41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41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41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41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41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41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41" s="70">
        <f t="shared" si="3"/>
        <v>74</v>
      </c>
      <c r="AV41" s="71">
        <f t="shared" si="4"/>
        <v>74</v>
      </c>
      <c r="AW41" s="72">
        <f t="shared" si="5"/>
        <v>27</v>
      </c>
      <c r="AY41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1397530</v>
      </c>
      <c r="AZ41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41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41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41" s="134">
        <f>SUM(Table40[[#This Row],[Ascension
Cost]:[Talent Cost
(Burst)]])</f>
        <v>3302530</v>
      </c>
      <c r="BE41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41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41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41" s="75">
        <f>SUM(Table53[[#This Row],[NA]:[Burst]])</f>
        <v>0</v>
      </c>
    </row>
    <row r="42" spans="1:60" ht="30" customHeight="1" x14ac:dyDescent="0.25">
      <c r="A42" s="76">
        <f>SUBTOTAL(3,$D$3:Character[[#This Row],[NameHelper]])</f>
        <v>40</v>
      </c>
      <c r="B42" s="77" t="e" vm="846">
        <f>IFERROR(INDEX(ImgDatabase!$D:$D, MATCH(Character[[#This Row],[NameHelper]], ImgDatabase!$E:$E, 0)), "")</f>
        <v>#VALUE!</v>
      </c>
      <c r="C42" s="78" t="s">
        <v>519</v>
      </c>
      <c r="D42" s="78" t="s">
        <v>519</v>
      </c>
      <c r="E42" s="53" t="e" vm="50">
        <f>IFERROR(INDEX(ImgDatabase!$G:$G, MATCH(Character[[#This Row],[NameHelper]], ImgDatabase!$E:$E, 0)), "")</f>
        <v>#VALUE!</v>
      </c>
      <c r="F42" s="53" t="e" vm="552">
        <f>IFERROR(INDEX(CharacterDetailsImg[Weapon Type], MATCH(Character[[#This Row],[NameHelper]], CharacterDetailsImg[Name], 0)), "")</f>
        <v>#VALUE!</v>
      </c>
      <c r="G42" s="79">
        <f>IFERROR(INDEX(CharacterDetailsImg[Released Version], MATCH(Character[[#This Row],[NameHelper]], CharacterDetailsImg[Name], 0)), "")</f>
        <v>1</v>
      </c>
      <c r="H42" s="51">
        <v>0</v>
      </c>
      <c r="I42" s="41">
        <v>0</v>
      </c>
      <c r="J42" s="41">
        <v>0</v>
      </c>
      <c r="K42" s="52">
        <v>0</v>
      </c>
      <c r="M42" s="80">
        <v>81</v>
      </c>
      <c r="N42" s="80">
        <v>1</v>
      </c>
      <c r="O42" s="81">
        <v>9</v>
      </c>
      <c r="P42" s="82">
        <v>9</v>
      </c>
      <c r="R42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42" s="83" t="e" vm="51">
        <f>IF(Character[[#This Row],[Name]]="Traveler","",IFERROR(INDEX(ImgDatabase!$I:$I,MATCH(Character[[#This Row],[NameHelper]],ImgDatabase!$E:$E,0)),""))</f>
        <v>#VALUE!</v>
      </c>
      <c r="U42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42" s="85" t="e" vm="351">
        <f>IF(Character[[#This Row],[Name]]="Traveler","",IFERROR(INDEX(ImgDatabase!$K:$K, MATCH(Character[[#This Row],[NameHelper]], ImgDatabase!$E:$E, 0)), ""))</f>
        <v>#VALUE!</v>
      </c>
      <c r="X42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42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42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42" s="85" t="e" vm="211">
        <f>IFERROR(INDEX(ImgDatabase!$J:$J, MATCH(Character[[#This Row],[NameHelper]], ImgDatabase!$E:$E, 0)), "")</f>
        <v>#VALUE!</v>
      </c>
      <c r="AC42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42" s="83" t="e" vm="556">
        <f>IFERROR(INDEX(ImgDatabase!$M:$M, MATCH(Character[[#This Row],[NameHelper]], ImgDatabase!$E:$E, 0)), "")</f>
        <v>#VALUE!</v>
      </c>
      <c r="AF42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42" s="83" t="e" vm="56">
        <f>IFERROR(INDEX(ImgDatabase!$N:$N, MATCH(Character[[#This Row],[NameHelper]], ImgDatabase!$E:$E, 0)), "")</f>
        <v>#VALUE!</v>
      </c>
      <c r="AI42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42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42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42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42" s="53" t="e" vm="10">
        <f>IFERROR(INDEX(ImgDatabase!$L:$L, MATCH(Character[[#This Row],[NameHelper]], ImgDatabase!$E:$E, 0)), "")</f>
        <v>#VALUE!</v>
      </c>
      <c r="AO42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42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42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42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42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42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42" s="89">
        <f t="shared" si="3"/>
        <v>0</v>
      </c>
      <c r="AV42" s="90">
        <f t="shared" si="4"/>
        <v>0</v>
      </c>
      <c r="AW42" s="91">
        <f t="shared" si="5"/>
        <v>0</v>
      </c>
      <c r="AY42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42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42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42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42" s="131">
        <f>SUM(Table40[[#This Row],[Ascension
Cost]:[Talent Cost
(Burst)]])</f>
        <v>0</v>
      </c>
      <c r="BE42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42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42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42" s="75">
        <f>SUM(Table53[[#This Row],[NA]:[Burst]])</f>
        <v>0</v>
      </c>
    </row>
    <row r="43" spans="1:60" ht="30" customHeight="1" x14ac:dyDescent="0.25">
      <c r="A43" s="76">
        <f>SUBTOTAL(3,$D$3:Character[[#This Row],[NameHelper]])</f>
        <v>41</v>
      </c>
      <c r="B43" s="77" t="e" vm="847">
        <f>IFERROR(INDEX(ImgDatabase!$D:$D, MATCH(Character[[#This Row],[NameHelper]], ImgDatabase!$E:$E, 0)), "")</f>
        <v>#VALUE!</v>
      </c>
      <c r="C43" s="78" t="s">
        <v>697</v>
      </c>
      <c r="D43" s="78" t="s">
        <v>415</v>
      </c>
      <c r="E43" s="53" t="e" vm="91">
        <f>IFERROR(INDEX(ImgDatabase!$G:$G, MATCH(Character[[#This Row],[NameHelper]], ImgDatabase!$E:$E, 0)), "")</f>
        <v>#VALUE!</v>
      </c>
      <c r="F43" s="53" t="e" vm="348">
        <f>IFERROR(INDEX(CharacterDetailsImg[Weapon Type], MATCH(Character[[#This Row],[NameHelper]], CharacterDetailsImg[Name], 0)), "")</f>
        <v>#VALUE!</v>
      </c>
      <c r="G43" s="79">
        <f>IFERROR(INDEX(CharacterDetailsImg[Released Version], MATCH(Character[[#This Row],[NameHelper]], CharacterDetailsImg[Name], 0)), "")</f>
        <v>2.1</v>
      </c>
      <c r="H43" s="51">
        <v>21</v>
      </c>
      <c r="I43" s="41">
        <v>1</v>
      </c>
      <c r="J43" s="41">
        <v>1</v>
      </c>
      <c r="K43" s="52">
        <v>1</v>
      </c>
      <c r="M43" s="80">
        <v>81</v>
      </c>
      <c r="N43" s="80">
        <v>1</v>
      </c>
      <c r="O43" s="81">
        <v>9</v>
      </c>
      <c r="P43" s="82">
        <v>9</v>
      </c>
      <c r="R43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250</v>
      </c>
      <c r="T43" s="83" t="e" vm="424">
        <f>IF(Character[[#This Row],[Name]]="Traveler","",IFERROR(INDEX(ImgDatabase!$I:$I,MATCH(Character[[#This Row],[NameHelper]],ImgDatabase!$E:$E,0)),""))</f>
        <v>#VALUE!</v>
      </c>
      <c r="U43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43" s="85" t="e" vm="183">
        <f>IF(Character[[#This Row],[Name]]="Traveler","",IFERROR(INDEX(ImgDatabase!$K:$K, MATCH(Character[[#This Row],[NameHelper]], ImgDatabase!$E:$E, 0)), ""))</f>
        <v>#VALUE!</v>
      </c>
      <c r="X43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43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43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43" s="92" t="e" vm="425">
        <f>IFERROR(INDEX(ImgDatabase!$J:$J, MATCH(Character[[#This Row],[NameHelper]], ImgDatabase!$E:$E, 0)), "")</f>
        <v>#VALUE!</v>
      </c>
      <c r="AC43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43" s="63" t="e" vm="426">
        <f>IFERROR(INDEX(ImgDatabase!$M:$M, MATCH(Character[[#This Row],[NameHelper]], ImgDatabase!$E:$E, 0)), "")</f>
        <v>#VALUE!</v>
      </c>
      <c r="AF43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43" s="63" t="e" vm="97">
        <f>IFERROR(INDEX(ImgDatabase!$N:$N, MATCH(Character[[#This Row],[NameHelper]], ImgDatabase!$E:$E, 0)), "")</f>
        <v>#VALUE!</v>
      </c>
      <c r="AI43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43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43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43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43" s="64" t="e" vm="133">
        <f>IFERROR(INDEX(ImgDatabase!$L:$L, MATCH(Character[[#This Row],[NameHelper]], ImgDatabase!$E:$E, 0)), "")</f>
        <v>#VALUE!</v>
      </c>
      <c r="AO43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43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43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43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43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43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43" s="70">
        <f t="shared" si="3"/>
        <v>74</v>
      </c>
      <c r="AV43" s="71">
        <f t="shared" si="4"/>
        <v>74</v>
      </c>
      <c r="AW43" s="72">
        <f t="shared" si="5"/>
        <v>27</v>
      </c>
      <c r="AY43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1397530</v>
      </c>
      <c r="AZ43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43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43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43" s="134">
        <f>SUM(Table40[[#This Row],[Ascension
Cost]:[Talent Cost
(Burst)]])</f>
        <v>3302530</v>
      </c>
      <c r="BE43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43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43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43" s="75">
        <f>SUM(Table53[[#This Row],[NA]:[Burst]])</f>
        <v>0</v>
      </c>
    </row>
    <row r="44" spans="1:60" ht="30" customHeight="1" x14ac:dyDescent="0.25">
      <c r="A44" s="76">
        <f>SUBTOTAL(3,$D$3:Character[[#This Row],[NameHelper]])</f>
        <v>42</v>
      </c>
      <c r="B44" s="77" t="e" vm="848">
        <f>IFERROR(INDEX(ImgDatabase!$D:$D, MATCH(Character[[#This Row],[NameHelper]], ImgDatabase!$E:$E, 0)), "")</f>
        <v>#VALUE!</v>
      </c>
      <c r="C44" s="78" t="s">
        <v>698</v>
      </c>
      <c r="D44" s="78" t="s">
        <v>229</v>
      </c>
      <c r="E44" s="53" t="e" vm="91">
        <f>IFERROR(INDEX(ImgDatabase!$G:$G, MATCH(Character[[#This Row],[NameHelper]], ImgDatabase!$E:$E, 0)), "")</f>
        <v>#VALUE!</v>
      </c>
      <c r="F44" s="53" t="e" vm="5">
        <f>IFERROR(INDEX(CharacterDetailsImg[Weapon Type], MATCH(Character[[#This Row],[NameHelper]], CharacterDetailsImg[Name], 0)), "")</f>
        <v>#VALUE!</v>
      </c>
      <c r="G44" s="79">
        <f>IFERROR(INDEX(CharacterDetailsImg[Released Version], MATCH(Character[[#This Row],[NameHelper]], CharacterDetailsImg[Name], 0)), "")</f>
        <v>2.7</v>
      </c>
      <c r="H44" s="51">
        <v>90</v>
      </c>
      <c r="I44" s="41">
        <v>1</v>
      </c>
      <c r="J44" s="41">
        <v>9</v>
      </c>
      <c r="K44" s="52">
        <v>6</v>
      </c>
      <c r="M44" s="80">
        <v>81</v>
      </c>
      <c r="N44" s="80">
        <v>1</v>
      </c>
      <c r="O44" s="81">
        <v>9</v>
      </c>
      <c r="P44" s="82">
        <v>9</v>
      </c>
      <c r="R44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44" s="83" t="e" vm="239">
        <f>IF(Character[[#This Row],[Name]]="Traveler","",IFERROR(INDEX(ImgDatabase!$I:$I,MATCH(Character[[#This Row],[NameHelper]],ImgDatabase!$E:$E,0)),""))</f>
        <v>#VALUE!</v>
      </c>
      <c r="U44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44" s="85" t="e" vm="183">
        <f>IF(Character[[#This Row],[Name]]="Traveler","",IFERROR(INDEX(ImgDatabase!$K:$K, MATCH(Character[[#This Row],[NameHelper]], ImgDatabase!$E:$E, 0)), ""))</f>
        <v>#VALUE!</v>
      </c>
      <c r="X44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22</v>
      </c>
      <c r="Y44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44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44" s="85" t="e" vm="240">
        <f>IFERROR(INDEX(ImgDatabase!$J:$J, MATCH(Character[[#This Row],[NameHelper]], ImgDatabase!$E:$E, 0)), "")</f>
        <v>#VALUE!</v>
      </c>
      <c r="AC44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4</v>
      </c>
      <c r="AE44" s="83" t="e" vm="241">
        <f>IFERROR(INDEX(ImgDatabase!$M:$M, MATCH(Character[[#This Row],[NameHelper]], ImgDatabase!$E:$E, 0)), "")</f>
        <v>#VALUE!</v>
      </c>
      <c r="AF44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44" s="83" t="e" vm="97">
        <f>IFERROR(INDEX(ImgDatabase!$N:$N, MATCH(Character[[#This Row],[NameHelper]], ImgDatabase!$E:$E, 0)), "")</f>
        <v>#VALUE!</v>
      </c>
      <c r="AI44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44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44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44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44" s="53" t="e" vm="75">
        <f>IFERROR(INDEX(ImgDatabase!$L:$L, MATCH(Character[[#This Row],[NameHelper]], ImgDatabase!$E:$E, 0)), "")</f>
        <v>#VALUE!</v>
      </c>
      <c r="AO44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44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44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44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19</v>
      </c>
      <c r="AS44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44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44" s="89">
        <f t="shared" si="3"/>
        <v>19</v>
      </c>
      <c r="AV44" s="90">
        <f t="shared" si="4"/>
        <v>0</v>
      </c>
      <c r="AW44" s="91">
        <f t="shared" si="5"/>
        <v>0</v>
      </c>
      <c r="AY44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44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44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44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830000</v>
      </c>
      <c r="BC44" s="131">
        <f>SUM(Table40[[#This Row],[Ascension
Cost]:[Talent Cost
(Burst)]])</f>
        <v>830000</v>
      </c>
      <c r="BE44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44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44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44" s="75">
        <f>SUM(Table53[[#This Row],[NA]:[Burst]])</f>
        <v>0</v>
      </c>
    </row>
    <row r="45" spans="1:60" ht="30" customHeight="1" x14ac:dyDescent="0.25">
      <c r="A45" s="76">
        <f>SUBTOTAL(3,$D$3:Character[[#This Row],[NameHelper]])</f>
        <v>43</v>
      </c>
      <c r="B45" s="77" t="e" vm="849">
        <f>IFERROR(INDEX(ImgDatabase!$D:$D, MATCH(Character[[#This Row],[NameHelper]], ImgDatabase!$E:$E, 0)), "")</f>
        <v>#VALUE!</v>
      </c>
      <c r="C45" s="78" t="s">
        <v>238</v>
      </c>
      <c r="D45" s="78" t="s">
        <v>238</v>
      </c>
      <c r="E45" s="53" t="e" vm="165">
        <f>IFERROR(INDEX(ImgDatabase!$G:$G, MATCH(Character[[#This Row],[NameHelper]], ImgDatabase!$E:$E, 0)), "")</f>
        <v>#VALUE!</v>
      </c>
      <c r="F45" s="53" t="e" vm="5">
        <f>IFERROR(INDEX(CharacterDetailsImg[Weapon Type], MATCH(Character[[#This Row],[NameHelper]], CharacterDetailsImg[Name], 0)), "")</f>
        <v>#VALUE!</v>
      </c>
      <c r="G45" s="79">
        <f>IFERROR(INDEX(CharacterDetailsImg[Released Version], MATCH(Character[[#This Row],[NameHelper]], CharacterDetailsImg[Name], 0)), "")</f>
        <v>3.2</v>
      </c>
      <c r="H45" s="51">
        <v>90</v>
      </c>
      <c r="I45" s="41">
        <v>1</v>
      </c>
      <c r="J45" s="41">
        <v>9</v>
      </c>
      <c r="K45" s="52">
        <v>7</v>
      </c>
      <c r="M45" s="80">
        <v>81</v>
      </c>
      <c r="N45" s="80">
        <v>1</v>
      </c>
      <c r="O45" s="81">
        <v>9</v>
      </c>
      <c r="P45" s="82">
        <v>9</v>
      </c>
      <c r="R45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45" s="83" t="e" vm="250">
        <f>IF(Character[[#This Row],[Name]]="Traveler","",IFERROR(INDEX(ImgDatabase!$I:$I,MATCH(Character[[#This Row],[NameHelper]],ImgDatabase!$E:$E,0)),""))</f>
        <v>#VALUE!</v>
      </c>
      <c r="U45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45" s="85" t="e" vm="31">
        <f>IF(Character[[#This Row],[Name]]="Traveler","",IFERROR(INDEX(ImgDatabase!$K:$K, MATCH(Character[[#This Row],[NameHelper]], ImgDatabase!$E:$E, 0)), ""))</f>
        <v>#VALUE!</v>
      </c>
      <c r="X45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18</v>
      </c>
      <c r="Y45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45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45" s="92" t="e" vm="30">
        <f>IFERROR(INDEX(ImgDatabase!$J:$J, MATCH(Character[[#This Row],[NameHelper]], ImgDatabase!$E:$E, 0)), "")</f>
        <v>#VALUE!</v>
      </c>
      <c r="AC45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3</v>
      </c>
      <c r="AE45" s="63" t="e" vm="251">
        <f>IFERROR(INDEX(ImgDatabase!$M:$M, MATCH(Character[[#This Row],[NameHelper]], ImgDatabase!$E:$E, 0)), "")</f>
        <v>#VALUE!</v>
      </c>
      <c r="AF45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45" s="63" t="e" vm="169">
        <f>IFERROR(INDEX(ImgDatabase!$N:$N, MATCH(Character[[#This Row],[NameHelper]], ImgDatabase!$E:$E, 0)), "")</f>
        <v>#VALUE!</v>
      </c>
      <c r="AI45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45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45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45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45" s="64" t="e" vm="10">
        <f>IFERROR(INDEX(ImgDatabase!$L:$L, MATCH(Character[[#This Row],[NameHelper]], ImgDatabase!$E:$E, 0)), "")</f>
        <v>#VALUE!</v>
      </c>
      <c r="AO45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45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45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45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15</v>
      </c>
      <c r="AS45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45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45" s="70">
        <f t="shared" si="3"/>
        <v>15</v>
      </c>
      <c r="AV45" s="71">
        <f t="shared" si="4"/>
        <v>0</v>
      </c>
      <c r="AW45" s="72">
        <f t="shared" si="5"/>
        <v>0</v>
      </c>
      <c r="AY45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45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45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45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710000</v>
      </c>
      <c r="BC45" s="134">
        <f>SUM(Table40[[#This Row],[Ascension
Cost]:[Talent Cost
(Burst)]])</f>
        <v>710000</v>
      </c>
      <c r="BE45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45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45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45" s="75">
        <f>SUM(Table53[[#This Row],[NA]:[Burst]])</f>
        <v>0</v>
      </c>
    </row>
    <row r="46" spans="1:60" ht="30" customHeight="1" x14ac:dyDescent="0.25">
      <c r="A46" s="76">
        <f>SUBTOTAL(3,$D$3:Character[[#This Row],[NameHelper]])</f>
        <v>44</v>
      </c>
      <c r="B46" s="77" t="e" vm="850">
        <f>IFERROR(INDEX(ImgDatabase!$D:$D, MATCH(Character[[#This Row],[NameHelper]], ImgDatabase!$E:$E, 0)), "")</f>
        <v>#VALUE!</v>
      </c>
      <c r="C46" s="78" t="s">
        <v>521</v>
      </c>
      <c r="D46" s="78" t="s">
        <v>521</v>
      </c>
      <c r="E46" s="53" t="e" vm="91">
        <f>IFERROR(INDEX(ImgDatabase!$G:$G, MATCH(Character[[#This Row],[NameHelper]], ImgDatabase!$E:$E, 0)), "")</f>
        <v>#VALUE!</v>
      </c>
      <c r="F46" s="53" t="e" vm="552">
        <f>IFERROR(INDEX(CharacterDetailsImg[Weapon Type], MATCH(Character[[#This Row],[NameHelper]], CharacterDetailsImg[Name], 0)), "")</f>
        <v>#VALUE!</v>
      </c>
      <c r="G46" s="79">
        <f>IFERROR(INDEX(CharacterDetailsImg[Released Version], MATCH(Character[[#This Row],[NameHelper]], CharacterDetailsImg[Name], 0)), "")</f>
        <v>1</v>
      </c>
      <c r="H46" s="51">
        <v>61</v>
      </c>
      <c r="I46" s="41">
        <v>1</v>
      </c>
      <c r="J46" s="41">
        <v>1</v>
      </c>
      <c r="K46" s="52">
        <v>1</v>
      </c>
      <c r="M46" s="80">
        <v>81</v>
      </c>
      <c r="N46" s="80">
        <v>1</v>
      </c>
      <c r="O46" s="81">
        <v>9</v>
      </c>
      <c r="P46" s="82">
        <v>9</v>
      </c>
      <c r="R46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145</v>
      </c>
      <c r="T46" s="83" t="e" vm="210">
        <f>IF(Character[[#This Row],[Name]]="Traveler","",IFERROR(INDEX(ImgDatabase!$I:$I,MATCH(Character[[#This Row],[NameHelper]],ImgDatabase!$E:$E,0)),""))</f>
        <v>#VALUE!</v>
      </c>
      <c r="U46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32</v>
      </c>
      <c r="W46" s="85" t="e" vm="9">
        <f>IF(Character[[#This Row],[Name]]="Traveler","",IFERROR(INDEX(ImgDatabase!$K:$K, MATCH(Character[[#This Row],[NameHelper]], ImgDatabase!$E:$E, 0)), ""))</f>
        <v>#VALUE!</v>
      </c>
      <c r="X46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46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46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46" s="85" t="e" vm="531">
        <f>IFERROR(INDEX(ImgDatabase!$J:$J, MATCH(Character[[#This Row],[NameHelper]], ImgDatabase!$E:$E, 0)), "")</f>
        <v>#VALUE!</v>
      </c>
      <c r="AC46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46" s="83" t="e" vm="532">
        <f>IFERROR(INDEX(ImgDatabase!$M:$M, MATCH(Character[[#This Row],[NameHelper]], ImgDatabase!$E:$E, 0)), "")</f>
        <v>#VALUE!</v>
      </c>
      <c r="AF46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105</v>
      </c>
      <c r="AH46" s="83" t="e" vm="97">
        <f>IFERROR(INDEX(ImgDatabase!$N:$N, MATCH(Character[[#This Row],[NameHelper]], ImgDatabase!$E:$E, 0)), "")</f>
        <v>#VALUE!</v>
      </c>
      <c r="AI46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46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6</v>
      </c>
      <c r="AK46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46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46" s="53" t="e" vm="462">
        <f>IFERROR(INDEX(ImgDatabase!$L:$L, MATCH(Character[[#This Row],[NameHelper]], ImgDatabase!$E:$E, 0)), "")</f>
        <v>#VALUE!</v>
      </c>
      <c r="AO46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46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46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46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46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46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46" s="89">
        <f t="shared" si="3"/>
        <v>74</v>
      </c>
      <c r="AV46" s="90">
        <f t="shared" si="4"/>
        <v>44</v>
      </c>
      <c r="AW46" s="91">
        <f t="shared" si="5"/>
        <v>12</v>
      </c>
      <c r="AY46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798020</v>
      </c>
      <c r="AZ46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46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46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46" s="131">
        <f>SUM(Table40[[#This Row],[Ascension
Cost]:[Talent Cost
(Burst)]])</f>
        <v>2703020</v>
      </c>
      <c r="BE46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46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46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46" s="75">
        <f>SUM(Table53[[#This Row],[NA]:[Burst]])</f>
        <v>0</v>
      </c>
    </row>
    <row r="47" spans="1:60" ht="30" customHeight="1" x14ac:dyDescent="0.25">
      <c r="A47" s="76">
        <f>SUBTOTAL(3,$D$3:Character[[#This Row],[NameHelper]])</f>
        <v>45</v>
      </c>
      <c r="B47" s="77" t="e" vm="851">
        <f>IFERROR(INDEX(ImgDatabase!$D:$D, MATCH(Character[[#This Row],[NameHelper]], ImgDatabase!$E:$E, 0)), "")</f>
        <v>#VALUE!</v>
      </c>
      <c r="C47" s="78" t="s">
        <v>247</v>
      </c>
      <c r="D47" s="78" t="s">
        <v>247</v>
      </c>
      <c r="E47" s="53" t="e" vm="131">
        <f>IFERROR(INDEX(ImgDatabase!$G:$G, MATCH(Character[[#This Row],[NameHelper]], ImgDatabase!$E:$E, 0)), "")</f>
        <v>#VALUE!</v>
      </c>
      <c r="F47" s="53" t="e" vm="5">
        <f>IFERROR(INDEX(CharacterDetailsImg[Weapon Type], MATCH(Character[[#This Row],[NameHelper]], CharacterDetailsImg[Name], 0)), "")</f>
        <v>#VALUE!</v>
      </c>
      <c r="G47" s="79">
        <f>IFERROR(INDEX(CharacterDetailsImg[Released Version], MATCH(Character[[#This Row],[NameHelper]], CharacterDetailsImg[Name], 0)), "")</f>
        <v>4</v>
      </c>
      <c r="H47" s="51">
        <v>21</v>
      </c>
      <c r="I47" s="41">
        <v>1</v>
      </c>
      <c r="J47" s="41">
        <v>1</v>
      </c>
      <c r="K47" s="52">
        <v>1</v>
      </c>
      <c r="M47" s="80">
        <v>81</v>
      </c>
      <c r="N47" s="80">
        <v>1</v>
      </c>
      <c r="O47" s="81">
        <v>9</v>
      </c>
      <c r="P47" s="82">
        <v>9</v>
      </c>
      <c r="R47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250</v>
      </c>
      <c r="T47" s="83" t="e" vm="72">
        <f>IF(Character[[#This Row],[Name]]="Traveler","",IFERROR(INDEX(ImgDatabase!$I:$I,MATCH(Character[[#This Row],[NameHelper]],ImgDatabase!$E:$E,0)),""))</f>
        <v>#VALUE!</v>
      </c>
      <c r="U47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47" s="85" t="e" vm="260">
        <f>IF(Character[[#This Row],[Name]]="Traveler","",IFERROR(INDEX(ImgDatabase!$K:$K, MATCH(Character[[#This Row],[NameHelper]], ImgDatabase!$E:$E, 0)), ""))</f>
        <v>#VALUE!</v>
      </c>
      <c r="X47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47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47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47" s="92" t="e" vm="93">
        <f>IFERROR(INDEX(ImgDatabase!$J:$J, MATCH(Character[[#This Row],[NameHelper]], ImgDatabase!$E:$E, 0)), "")</f>
        <v>#VALUE!</v>
      </c>
      <c r="AC47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47" s="63" t="e" vm="262">
        <f>IFERROR(INDEX(ImgDatabase!$M:$M, MATCH(Character[[#This Row],[NameHelper]], ImgDatabase!$E:$E, 0)), "")</f>
        <v>#VALUE!</v>
      </c>
      <c r="AF47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47" s="63" t="e" vm="135">
        <f>IFERROR(INDEX(ImgDatabase!$N:$N, MATCH(Character[[#This Row],[NameHelper]], ImgDatabase!$E:$E, 0)), "")</f>
        <v>#VALUE!</v>
      </c>
      <c r="AI47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47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47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47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47" s="64" t="e" vm="261">
        <f>IFERROR(INDEX(ImgDatabase!$L:$L, MATCH(Character[[#This Row],[NameHelper]], ImgDatabase!$E:$E, 0)), "")</f>
        <v>#VALUE!</v>
      </c>
      <c r="AO47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47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47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47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47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47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47" s="70">
        <f t="shared" si="3"/>
        <v>74</v>
      </c>
      <c r="AV47" s="71">
        <f t="shared" si="4"/>
        <v>74</v>
      </c>
      <c r="AW47" s="72">
        <f t="shared" si="5"/>
        <v>27</v>
      </c>
      <c r="AY47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1397530</v>
      </c>
      <c r="AZ47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47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47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47" s="134">
        <f>SUM(Table40[[#This Row],[Ascension
Cost]:[Talent Cost
(Burst)]])</f>
        <v>3302530</v>
      </c>
      <c r="BE47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47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47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47" s="75">
        <f>SUM(Table53[[#This Row],[NA]:[Burst]])</f>
        <v>0</v>
      </c>
    </row>
    <row r="48" spans="1:60" ht="30" customHeight="1" x14ac:dyDescent="0.25">
      <c r="A48" s="76">
        <f>SUBTOTAL(3,$D$3:Character[[#This Row],[NameHelper]])</f>
        <v>46</v>
      </c>
      <c r="B48" s="77" t="e" vm="852">
        <f>IFERROR(INDEX(ImgDatabase!$D:$D, MATCH(Character[[#This Row],[NameHelper]], ImgDatabase!$E:$E, 0)), "")</f>
        <v>#VALUE!</v>
      </c>
      <c r="C48" s="78" t="s">
        <v>421</v>
      </c>
      <c r="D48" s="78" t="s">
        <v>421</v>
      </c>
      <c r="E48" s="53" t="e" vm="50">
        <f>IFERROR(INDEX(ImgDatabase!$G:$G, MATCH(Character[[#This Row],[NameHelper]], ImgDatabase!$E:$E, 0)), "")</f>
        <v>#VALUE!</v>
      </c>
      <c r="F48" s="53" t="e" vm="348">
        <f>IFERROR(INDEX(CharacterDetailsImg[Weapon Type], MATCH(Character[[#This Row],[NameHelper]], CharacterDetailsImg[Name], 0)), "")</f>
        <v>#VALUE!</v>
      </c>
      <c r="G48" s="79">
        <f>IFERROR(INDEX(CharacterDetailsImg[Released Version], MATCH(Character[[#This Row],[NameHelper]], CharacterDetailsImg[Name], 0)), "")</f>
        <v>4</v>
      </c>
      <c r="H48" s="51">
        <v>0</v>
      </c>
      <c r="I48" s="41">
        <v>0</v>
      </c>
      <c r="J48" s="41">
        <v>0</v>
      </c>
      <c r="K48" s="52">
        <v>0</v>
      </c>
      <c r="M48" s="80">
        <v>81</v>
      </c>
      <c r="N48" s="80">
        <v>1</v>
      </c>
      <c r="O48" s="81">
        <v>9</v>
      </c>
      <c r="P48" s="82">
        <v>9</v>
      </c>
      <c r="R48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48" s="83" t="e" vm="432">
        <f>IF(Character[[#This Row],[Name]]="Traveler","",IFERROR(INDEX(ImgDatabase!$I:$I,MATCH(Character[[#This Row],[NameHelper]],ImgDatabase!$E:$E,0)),""))</f>
        <v>#VALUE!</v>
      </c>
      <c r="U48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48" s="85" t="e" vm="434">
        <f>IF(Character[[#This Row],[Name]]="Traveler","",IFERROR(INDEX(ImgDatabase!$K:$K, MATCH(Character[[#This Row],[NameHelper]], ImgDatabase!$E:$E, 0)), ""))</f>
        <v>#VALUE!</v>
      </c>
      <c r="X48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48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48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48" s="85" t="e" vm="433">
        <f>IFERROR(INDEX(ImgDatabase!$J:$J, MATCH(Character[[#This Row],[NameHelper]], ImgDatabase!$E:$E, 0)), "")</f>
        <v>#VALUE!</v>
      </c>
      <c r="AC48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48" s="83" t="e" vm="436">
        <f>IFERROR(INDEX(ImgDatabase!$M:$M, MATCH(Character[[#This Row],[NameHelper]], ImgDatabase!$E:$E, 0)), "")</f>
        <v>#VALUE!</v>
      </c>
      <c r="AF48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48" s="83" t="e" vm="56">
        <f>IFERROR(INDEX(ImgDatabase!$N:$N, MATCH(Character[[#This Row],[NameHelper]], ImgDatabase!$E:$E, 0)), "")</f>
        <v>#VALUE!</v>
      </c>
      <c r="AI48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48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48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48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48" s="53" t="e" vm="435">
        <f>IFERROR(INDEX(ImgDatabase!$L:$L, MATCH(Character[[#This Row],[NameHelper]], ImgDatabase!$E:$E, 0)), "")</f>
        <v>#VALUE!</v>
      </c>
      <c r="AO48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48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48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48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48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48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48" s="89">
        <f t="shared" si="3"/>
        <v>0</v>
      </c>
      <c r="AV48" s="90">
        <f t="shared" si="4"/>
        <v>0</v>
      </c>
      <c r="AW48" s="91">
        <f t="shared" si="5"/>
        <v>0</v>
      </c>
      <c r="AY48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48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48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48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48" s="131">
        <f>SUM(Table40[[#This Row],[Ascension
Cost]:[Talent Cost
(Burst)]])</f>
        <v>0</v>
      </c>
      <c r="BE48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48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48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48" s="75">
        <f>SUM(Table53[[#This Row],[NA]:[Burst]])</f>
        <v>0</v>
      </c>
    </row>
    <row r="49" spans="1:60" ht="30" customHeight="1" x14ac:dyDescent="0.25">
      <c r="A49" s="76">
        <f>SUBTOTAL(3,$D$3:Character[[#This Row],[NameHelper]])</f>
        <v>47</v>
      </c>
      <c r="B49" s="77" t="e" vm="853">
        <f>IFERROR(INDEX(ImgDatabase!$D:$D, MATCH(Character[[#This Row],[NameHelper]], ImgDatabase!$E:$E, 0)), "")</f>
        <v>#VALUE!</v>
      </c>
      <c r="C49" s="78" t="s">
        <v>555</v>
      </c>
      <c r="D49" s="78" t="s">
        <v>555</v>
      </c>
      <c r="E49" s="53" t="e" vm="165">
        <f>IFERROR(INDEX(ImgDatabase!$G:$G, MATCH(Character[[#This Row],[NameHelper]], ImgDatabase!$E:$E, 0)), "")</f>
        <v>#VALUE!</v>
      </c>
      <c r="F49" s="53" t="e" vm="546">
        <f>IFERROR(INDEX(CharacterDetailsImg[Weapon Type], MATCH(Character[[#This Row],[NameHelper]], CharacterDetailsImg[Name], 0)), "")</f>
        <v>#VALUE!</v>
      </c>
      <c r="G49" s="79">
        <f>IFERROR(INDEX(CharacterDetailsImg[Released Version], MATCH(Character[[#This Row],[NameHelper]], CharacterDetailsImg[Name], 0)), "")</f>
        <v>3.5</v>
      </c>
      <c r="H49" s="51">
        <v>60</v>
      </c>
      <c r="I49" s="41">
        <v>1</v>
      </c>
      <c r="J49" s="41">
        <v>1</v>
      </c>
      <c r="K49" s="52">
        <v>1</v>
      </c>
      <c r="M49" s="80">
        <v>81</v>
      </c>
      <c r="N49" s="80">
        <v>1</v>
      </c>
      <c r="O49" s="81">
        <v>9</v>
      </c>
      <c r="P49" s="82">
        <v>9</v>
      </c>
      <c r="R49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150</v>
      </c>
      <c r="T49" s="83" t="e" vm="29">
        <f>IF(Character[[#This Row],[Name]]="Traveler","",IFERROR(INDEX(ImgDatabase!$I:$I,MATCH(Character[[#This Row],[NameHelper]],ImgDatabase!$E:$E,0)),""))</f>
        <v>#VALUE!</v>
      </c>
      <c r="U49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40</v>
      </c>
      <c r="W49" s="85" t="e" vm="9">
        <f>IF(Character[[#This Row],[Name]]="Traveler","",IFERROR(INDEX(ImgDatabase!$K:$K, MATCH(Character[[#This Row],[NameHelper]], ImgDatabase!$E:$E, 0)), ""))</f>
        <v>#VALUE!</v>
      </c>
      <c r="X49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49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49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49" s="92" t="e" vm="30">
        <f>IFERROR(INDEX(ImgDatabase!$J:$J, MATCH(Character[[#This Row],[NameHelper]], ImgDatabase!$E:$E, 0)), "")</f>
        <v>#VALUE!</v>
      </c>
      <c r="AC49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49" s="63" t="e" vm="536">
        <f>IFERROR(INDEX(ImgDatabase!$M:$M, MATCH(Character[[#This Row],[NameHelper]], ImgDatabase!$E:$E, 0)), "")</f>
        <v>#VALUE!</v>
      </c>
      <c r="AF49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135</v>
      </c>
      <c r="AH49" s="63" t="e" vm="169">
        <f>IFERROR(INDEX(ImgDatabase!$N:$N, MATCH(Character[[#This Row],[NameHelper]], ImgDatabase!$E:$E, 0)), "")</f>
        <v>#VALUE!</v>
      </c>
      <c r="AI49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49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49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49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49" s="64" t="e" vm="435">
        <f>IFERROR(INDEX(ImgDatabase!$L:$L, MATCH(Character[[#This Row],[NameHelper]], ImgDatabase!$E:$E, 0)), "")</f>
        <v>#VALUE!</v>
      </c>
      <c r="AO49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49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18</v>
      </c>
      <c r="AQ49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49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49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49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49" s="70">
        <f t="shared" si="3"/>
        <v>74</v>
      </c>
      <c r="AV49" s="71">
        <f t="shared" si="4"/>
        <v>62</v>
      </c>
      <c r="AW49" s="72">
        <f t="shared" si="5"/>
        <v>12</v>
      </c>
      <c r="AY49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898195</v>
      </c>
      <c r="AZ49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49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49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49" s="134">
        <f>SUM(Table40[[#This Row],[Ascension
Cost]:[Talent Cost
(Burst)]])</f>
        <v>2803195</v>
      </c>
      <c r="BE49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49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49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49" s="75">
        <f>SUM(Table53[[#This Row],[NA]:[Burst]])</f>
        <v>0</v>
      </c>
    </row>
    <row r="50" spans="1:60" ht="30" customHeight="1" x14ac:dyDescent="0.25">
      <c r="A50" s="76">
        <f>SUBTOTAL(3,$D$3:Character[[#This Row],[NameHelper]])</f>
        <v>48</v>
      </c>
      <c r="B50" s="77" t="e" vm="854">
        <f>IFERROR(INDEX(ImgDatabase!$D:$D, MATCH(Character[[#This Row],[NameHelper]], ImgDatabase!$E:$E, 0)), "")</f>
        <v>#VALUE!</v>
      </c>
      <c r="C50" s="78" t="s">
        <v>523</v>
      </c>
      <c r="D50" s="78" t="s">
        <v>523</v>
      </c>
      <c r="E50" s="53" t="e" vm="112">
        <f>IFERROR(INDEX(ImgDatabase!$G:$G, MATCH(Character[[#This Row],[NameHelper]], ImgDatabase!$E:$E, 0)), "")</f>
        <v>#VALUE!</v>
      </c>
      <c r="F50" s="53" t="e" vm="552">
        <f>IFERROR(INDEX(CharacterDetailsImg[Weapon Type], MATCH(Character[[#This Row],[NameHelper]], CharacterDetailsImg[Name], 0)), "")</f>
        <v>#VALUE!</v>
      </c>
      <c r="G50" s="79">
        <f>IFERROR(INDEX(CharacterDetailsImg[Released Version], MATCH(Character[[#This Row],[NameHelper]], CharacterDetailsImg[Name], 0)), "")</f>
        <v>1</v>
      </c>
      <c r="H50" s="51">
        <v>81</v>
      </c>
      <c r="I50" s="41">
        <v>1</v>
      </c>
      <c r="J50" s="41">
        <v>1</v>
      </c>
      <c r="K50" s="52">
        <v>10</v>
      </c>
      <c r="M50" s="80">
        <v>81</v>
      </c>
      <c r="N50" s="80">
        <v>1</v>
      </c>
      <c r="O50" s="81">
        <v>9</v>
      </c>
      <c r="P50" s="82">
        <v>9</v>
      </c>
      <c r="R50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50" s="83" t="e" vm="337">
        <f>IF(Character[[#This Row],[Name]]="Traveler","",IFERROR(INDEX(ImgDatabase!$I:$I,MATCH(Character[[#This Row],[NameHelper]],ImgDatabase!$E:$E,0)),""))</f>
        <v>#VALUE!</v>
      </c>
      <c r="U50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50" s="85" t="e" vm="53">
        <f>IF(Character[[#This Row],[Name]]="Traveler","",IFERROR(INDEX(ImgDatabase!$K:$K, MATCH(Character[[#This Row],[NameHelper]], ImgDatabase!$E:$E, 0)), ""))</f>
        <v>#VALUE!</v>
      </c>
      <c r="X50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22</v>
      </c>
      <c r="Y50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21</v>
      </c>
      <c r="Z50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3</v>
      </c>
      <c r="AB50" s="85" t="e" vm="211">
        <f>IFERROR(INDEX(ImgDatabase!$J:$J, MATCH(Character[[#This Row],[NameHelper]], ImgDatabase!$E:$E, 0)), "")</f>
        <v>#VALUE!</v>
      </c>
      <c r="AC50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4</v>
      </c>
      <c r="AE50" s="83" t="e" vm="556">
        <f>IFERROR(INDEX(ImgDatabase!$M:$M, MATCH(Character[[#This Row],[NameHelper]], ImgDatabase!$E:$E, 0)), "")</f>
        <v>#VALUE!</v>
      </c>
      <c r="AF50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50" s="83" t="e" vm="117">
        <f>IFERROR(INDEX(ImgDatabase!$N:$N, MATCH(Character[[#This Row],[NameHelper]], ImgDatabase!$E:$E, 0)), "")</f>
        <v>#VALUE!</v>
      </c>
      <c r="AI50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50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50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50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50" s="53" t="e" vm="115">
        <f>IFERROR(INDEX(ImgDatabase!$L:$L, MATCH(Character[[#This Row],[NameHelper]], ImgDatabase!$E:$E, 0)), "")</f>
        <v>#VALUE!</v>
      </c>
      <c r="AO50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50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50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50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19</v>
      </c>
      <c r="AS50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22</v>
      </c>
      <c r="AT50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6</v>
      </c>
      <c r="AU50" s="89">
        <f t="shared" si="3"/>
        <v>19</v>
      </c>
      <c r="AV50" s="90">
        <f t="shared" si="4"/>
        <v>22</v>
      </c>
      <c r="AW50" s="91">
        <f t="shared" si="5"/>
        <v>6</v>
      </c>
      <c r="AY50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50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50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50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50" s="131">
        <f>SUM(Table40[[#This Row],[Ascension
Cost]:[Talent Cost
(Burst)]])</f>
        <v>952500</v>
      </c>
      <c r="BE50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50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50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50" s="75">
        <f>SUM(Table53[[#This Row],[NA]:[Burst]])</f>
        <v>0</v>
      </c>
    </row>
    <row r="51" spans="1:60" ht="30" customHeight="1" x14ac:dyDescent="0.25">
      <c r="A51" s="76">
        <f>SUBTOTAL(3,$D$3:Character[[#This Row],[NameHelper]])</f>
        <v>49</v>
      </c>
      <c r="B51" s="77" t="e" vm="855">
        <f>IFERROR(INDEX(ImgDatabase!$D:$D, MATCH(Character[[#This Row],[NameHelper]], ImgDatabase!$E:$E, 0)), "")</f>
        <v>#VALUE!</v>
      </c>
      <c r="C51" s="78" t="s">
        <v>525</v>
      </c>
      <c r="D51" s="78" t="s">
        <v>525</v>
      </c>
      <c r="E51" s="53" t="e" vm="28">
        <f>IFERROR(INDEX(ImgDatabase!$G:$G, MATCH(Character[[#This Row],[NameHelper]], ImgDatabase!$E:$E, 0)), "")</f>
        <v>#VALUE!</v>
      </c>
      <c r="F51" s="53" t="e" vm="552">
        <f>IFERROR(INDEX(CharacterDetailsImg[Weapon Type], MATCH(Character[[#This Row],[NameHelper]], CharacterDetailsImg[Name], 0)), "")</f>
        <v>#VALUE!</v>
      </c>
      <c r="G51" s="79">
        <f>IFERROR(INDEX(CharacterDetailsImg[Released Version], MATCH(Character[[#This Row],[NameHelper]], CharacterDetailsImg[Name], 0)), "")</f>
        <v>3.2</v>
      </c>
      <c r="H51" s="51">
        <v>90</v>
      </c>
      <c r="I51" s="41">
        <v>6</v>
      </c>
      <c r="J51" s="41">
        <v>10</v>
      </c>
      <c r="K51" s="52">
        <v>10</v>
      </c>
      <c r="M51" s="80">
        <v>81</v>
      </c>
      <c r="N51" s="80">
        <v>1</v>
      </c>
      <c r="O51" s="81">
        <v>9</v>
      </c>
      <c r="P51" s="82">
        <v>9</v>
      </c>
      <c r="R51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51" s="83" t="e" vm="522">
        <f>IF(Character[[#This Row],[Name]]="Traveler","",IFERROR(INDEX(ImgDatabase!$I:$I,MATCH(Character[[#This Row],[NameHelper]],ImgDatabase!$E:$E,0)),""))</f>
        <v>#VALUE!</v>
      </c>
      <c r="U51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51" s="85" t="e" vm="31">
        <f>IF(Character[[#This Row],[Name]]="Traveler","",IFERROR(INDEX(ImgDatabase!$K:$K, MATCH(Character[[#This Row],[NameHelper]], ImgDatabase!$E:$E, 0)), ""))</f>
        <v>#VALUE!</v>
      </c>
      <c r="X51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51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51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51" s="92" t="e" vm="390">
        <f>IFERROR(INDEX(ImgDatabase!$J:$J, MATCH(Character[[#This Row],[NameHelper]], ImgDatabase!$E:$E, 0)), "")</f>
        <v>#VALUE!</v>
      </c>
      <c r="AC51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51" s="63" t="e" vm="507">
        <f>IFERROR(INDEX(ImgDatabase!$M:$M, MATCH(Character[[#This Row],[NameHelper]], ImgDatabase!$E:$E, 0)), "")</f>
        <v>#VALUE!</v>
      </c>
      <c r="AF51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51" s="63" t="e" vm="34">
        <f>IFERROR(INDEX(ImgDatabase!$N:$N, MATCH(Character[[#This Row],[NameHelper]], ImgDatabase!$E:$E, 0)), "")</f>
        <v>#VALUE!</v>
      </c>
      <c r="AI51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51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51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51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51" s="64" t="e" vm="272">
        <f>IFERROR(INDEX(ImgDatabase!$L:$L, MATCH(Character[[#This Row],[NameHelper]], ImgDatabase!$E:$E, 0)), "")</f>
        <v>#VALUE!</v>
      </c>
      <c r="AO51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51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51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51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51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51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51" s="70">
        <f t="shared" si="3"/>
        <v>0</v>
      </c>
      <c r="AV51" s="71">
        <f t="shared" si="4"/>
        <v>0</v>
      </c>
      <c r="AW51" s="72">
        <f t="shared" si="5"/>
        <v>0</v>
      </c>
      <c r="AY51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51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51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51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51" s="134">
        <f>SUM(Table40[[#This Row],[Ascension
Cost]:[Talent Cost
(Burst)]])</f>
        <v>0</v>
      </c>
      <c r="BE51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51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51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51" s="75">
        <f>SUM(Table53[[#This Row],[NA]:[Burst]])</f>
        <v>0</v>
      </c>
    </row>
    <row r="52" spans="1:60" ht="30" customHeight="1" x14ac:dyDescent="0.25">
      <c r="A52" s="76">
        <f>SUBTOTAL(3,$D$3:Character[[#This Row],[NameHelper]])</f>
        <v>50</v>
      </c>
      <c r="B52" s="77" t="e" vm="856">
        <f>IFERROR(INDEX(ImgDatabase!$D:$D, MATCH(Character[[#This Row],[NameHelper]], ImgDatabase!$E:$E, 0)), "")</f>
        <v>#VALUE!</v>
      </c>
      <c r="C52" s="78" t="s">
        <v>493</v>
      </c>
      <c r="D52" s="78" t="s">
        <v>493</v>
      </c>
      <c r="E52" s="53" t="e" vm="6">
        <f>IFERROR(INDEX(ImgDatabase!$G:$G, MATCH(Character[[#This Row],[NameHelper]], ImgDatabase!$E:$E, 0)), "")</f>
        <v>#VALUE!</v>
      </c>
      <c r="F52" s="53" t="e" vm="479">
        <f>IFERROR(INDEX(CharacterDetailsImg[Weapon Type], MATCH(Character[[#This Row],[NameHelper]], CharacterDetailsImg[Name], 0)), "")</f>
        <v>#VALUE!</v>
      </c>
      <c r="G52" s="79">
        <f>IFERROR(INDEX(CharacterDetailsImg[Released Version], MATCH(Character[[#This Row],[NameHelper]], CharacterDetailsImg[Name], 0)), "")</f>
        <v>4.3</v>
      </c>
      <c r="H52" s="51">
        <v>0</v>
      </c>
      <c r="I52" s="93">
        <v>0</v>
      </c>
      <c r="J52" s="93">
        <v>0</v>
      </c>
      <c r="K52" s="52">
        <v>0</v>
      </c>
      <c r="M52" s="80">
        <v>81</v>
      </c>
      <c r="N52" s="80">
        <v>1</v>
      </c>
      <c r="O52" s="81">
        <v>9</v>
      </c>
      <c r="P52" s="82">
        <v>9</v>
      </c>
      <c r="R52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52" s="83" t="e" vm="514">
        <f>IF(Character[[#This Row],[Name]]="Traveler","",IFERROR(INDEX(ImgDatabase!$I:$I,MATCH(Character[[#This Row],[NameHelper]],ImgDatabase!$E:$E,0)),""))</f>
        <v>#VALUE!</v>
      </c>
      <c r="U52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52" s="85" t="e" vm="434">
        <f>IF(Character[[#This Row],[Name]]="Traveler","",IFERROR(INDEX(ImgDatabase!$K:$K, MATCH(Character[[#This Row],[NameHelper]], ImgDatabase!$E:$E, 0)), ""))</f>
        <v>#VALUE!</v>
      </c>
      <c r="X52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52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52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52" s="85" t="e" vm="73">
        <f>IFERROR(INDEX(ImgDatabase!$J:$J, MATCH(Character[[#This Row],[NameHelper]], ImgDatabase!$E:$E, 0)), "")</f>
        <v>#VALUE!</v>
      </c>
      <c r="AC52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52" s="83" t="e" vm="527">
        <f>IFERROR(INDEX(ImgDatabase!$M:$M, MATCH(Character[[#This Row],[NameHelper]], ImgDatabase!$E:$E, 0)), "")</f>
        <v>#VALUE!</v>
      </c>
      <c r="AF52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52" s="83" t="e" vm="12">
        <f>IFERROR(INDEX(ImgDatabase!$N:$N, MATCH(Character[[#This Row],[NameHelper]], ImgDatabase!$E:$E, 0)), "")</f>
        <v>#VALUE!</v>
      </c>
      <c r="AI52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52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52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52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52" s="53" t="e" vm="95">
        <f>IFERROR(INDEX(ImgDatabase!$L:$L, MATCH(Character[[#This Row],[NameHelper]], ImgDatabase!$E:$E, 0)), "")</f>
        <v>#VALUE!</v>
      </c>
      <c r="AO52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52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52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52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52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52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52" s="89">
        <f t="shared" si="3"/>
        <v>0</v>
      </c>
      <c r="AV52" s="90">
        <f t="shared" si="4"/>
        <v>0</v>
      </c>
      <c r="AW52" s="91">
        <f t="shared" si="5"/>
        <v>0</v>
      </c>
      <c r="AY52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52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52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52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52" s="131">
        <f>SUM(Table40[[#This Row],[Ascension
Cost]:[Talent Cost
(Burst)]])</f>
        <v>0</v>
      </c>
      <c r="BE52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52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52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52" s="75">
        <f>SUM(Table53[[#This Row],[NA]:[Burst]])</f>
        <v>0</v>
      </c>
    </row>
    <row r="53" spans="1:60" ht="30" customHeight="1" x14ac:dyDescent="0.25">
      <c r="A53" s="76">
        <f>SUBTOTAL(3,$D$3:Character[[#This Row],[NameHelper]])</f>
        <v>51</v>
      </c>
      <c r="B53" s="77" t="e" vm="857">
        <f>IFERROR(INDEX(ImgDatabase!$D:$D, MATCH(Character[[#This Row],[NameHelper]], ImgDatabase!$E:$E, 0)), "")</f>
        <v>#VALUE!</v>
      </c>
      <c r="C53" s="78" t="s">
        <v>527</v>
      </c>
      <c r="D53" s="78" t="s">
        <v>527</v>
      </c>
      <c r="E53" s="53" t="e" vm="112">
        <f>IFERROR(INDEX(ImgDatabase!$G:$G, MATCH(Character[[#This Row],[NameHelper]], ImgDatabase!$E:$E, 0)), "")</f>
        <v>#VALUE!</v>
      </c>
      <c r="F53" s="53" t="e" vm="552">
        <f>IFERROR(INDEX(CharacterDetailsImg[Weapon Type], MATCH(Character[[#This Row],[NameHelper]], CharacterDetailsImg[Name], 0)), "")</f>
        <v>#VALUE!</v>
      </c>
      <c r="G53" s="79">
        <f>IFERROR(INDEX(CharacterDetailsImg[Released Version], MATCH(Character[[#This Row],[NameHelper]], CharacterDetailsImg[Name], 0)), "")</f>
        <v>4.0999999999999996</v>
      </c>
      <c r="H53" s="51">
        <v>90</v>
      </c>
      <c r="I53" s="41">
        <v>10</v>
      </c>
      <c r="J53" s="41">
        <v>10</v>
      </c>
      <c r="K53" s="52">
        <v>10</v>
      </c>
      <c r="M53" s="80">
        <v>81</v>
      </c>
      <c r="N53" s="80">
        <v>1</v>
      </c>
      <c r="O53" s="81">
        <v>9</v>
      </c>
      <c r="P53" s="82">
        <v>9</v>
      </c>
      <c r="R53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53" s="83" t="e" vm="92">
        <f>IF(Character[[#This Row],[Name]]="Traveler","",IFERROR(INDEX(ImgDatabase!$I:$I,MATCH(Character[[#This Row],[NameHelper]],ImgDatabase!$E:$E,0)),""))</f>
        <v>#VALUE!</v>
      </c>
      <c r="U53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53" s="85" t="e" vm="434">
        <f>IF(Character[[#This Row],[Name]]="Traveler","",IFERROR(INDEX(ImgDatabase!$K:$K, MATCH(Character[[#This Row],[NameHelper]], ImgDatabase!$E:$E, 0)), ""))</f>
        <v>#VALUE!</v>
      </c>
      <c r="X53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53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53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53" s="92" t="e" vm="93">
        <f>IFERROR(INDEX(ImgDatabase!$J:$J, MATCH(Character[[#This Row],[NameHelper]], ImgDatabase!$E:$E, 0)), "")</f>
        <v>#VALUE!</v>
      </c>
      <c r="AC53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53" s="63" t="e" vm="96">
        <f>IFERROR(INDEX(ImgDatabase!$M:$M, MATCH(Character[[#This Row],[NameHelper]], ImgDatabase!$E:$E, 0)), "")</f>
        <v>#VALUE!</v>
      </c>
      <c r="AF53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53" s="63" t="e" vm="117">
        <f>IFERROR(INDEX(ImgDatabase!$N:$N, MATCH(Character[[#This Row],[NameHelper]], ImgDatabase!$E:$E, 0)), "")</f>
        <v>#VALUE!</v>
      </c>
      <c r="AI53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53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53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53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53" s="64" t="e" vm="95">
        <f>IFERROR(INDEX(ImgDatabase!$L:$L, MATCH(Character[[#This Row],[NameHelper]], ImgDatabase!$E:$E, 0)), "")</f>
        <v>#VALUE!</v>
      </c>
      <c r="AO53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53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53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53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53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53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53" s="70">
        <f t="shared" si="3"/>
        <v>0</v>
      </c>
      <c r="AV53" s="71">
        <f t="shared" si="4"/>
        <v>0</v>
      </c>
      <c r="AW53" s="72">
        <f t="shared" si="5"/>
        <v>0</v>
      </c>
      <c r="AY53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53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53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53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53" s="134">
        <f>SUM(Table40[[#This Row],[Ascension
Cost]:[Talent Cost
(Burst)]])</f>
        <v>0</v>
      </c>
      <c r="BE53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53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53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53" s="75">
        <f>SUM(Table53[[#This Row],[NA]:[Burst]])</f>
        <v>0</v>
      </c>
    </row>
    <row r="54" spans="1:60" ht="30" customHeight="1" x14ac:dyDescent="0.25">
      <c r="A54" s="76">
        <f>SUBTOTAL(3,$D$3:Character[[#This Row],[NameHelper]])</f>
        <v>52</v>
      </c>
      <c r="B54" s="77" t="e" vm="858">
        <f>IFERROR(INDEX(ImgDatabase!$D:$D, MATCH(Character[[#This Row],[NameHelper]], ImgDatabase!$E:$E, 0)), "")</f>
        <v>#VALUE!</v>
      </c>
      <c r="C54" s="78" t="s">
        <v>258</v>
      </c>
      <c r="D54" s="78" t="s">
        <v>258</v>
      </c>
      <c r="E54" s="53" t="e" vm="112">
        <f>IFERROR(INDEX(ImgDatabase!$G:$G, MATCH(Character[[#This Row],[NameHelper]], ImgDatabase!$E:$E, 0)), "")</f>
        <v>#VALUE!</v>
      </c>
      <c r="F54" s="53" t="e" vm="5">
        <f>IFERROR(INDEX(CharacterDetailsImg[Weapon Type], MATCH(Character[[#This Row],[NameHelper]], CharacterDetailsImg[Name], 0)), "")</f>
        <v>#VALUE!</v>
      </c>
      <c r="G54" s="79">
        <f>IFERROR(INDEX(CharacterDetailsImg[Released Version], MATCH(Character[[#This Row],[NameHelper]], CharacterDetailsImg[Name], 0)), "")</f>
        <v>3.1</v>
      </c>
      <c r="H54" s="51">
        <v>0</v>
      </c>
      <c r="I54" s="41">
        <v>0</v>
      </c>
      <c r="J54" s="41">
        <v>0</v>
      </c>
      <c r="K54" s="52">
        <v>0</v>
      </c>
      <c r="M54" s="80">
        <v>81</v>
      </c>
      <c r="N54" s="80">
        <v>1</v>
      </c>
      <c r="O54" s="81">
        <v>9</v>
      </c>
      <c r="P54" s="82">
        <v>9</v>
      </c>
      <c r="R54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54" s="83" t="e" vm="250">
        <f>IF(Character[[#This Row],[Name]]="Traveler","",IFERROR(INDEX(ImgDatabase!$I:$I,MATCH(Character[[#This Row],[NameHelper]],ImgDatabase!$E:$E,0)),""))</f>
        <v>#VALUE!</v>
      </c>
      <c r="U54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54" s="85" t="e" vm="271">
        <f>IF(Character[[#This Row],[Name]]="Traveler","",IFERROR(INDEX(ImgDatabase!$K:$K, MATCH(Character[[#This Row],[NameHelper]], ImgDatabase!$E:$E, 0)), ""))</f>
        <v>#VALUE!</v>
      </c>
      <c r="X54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54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54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54" s="85" t="e" vm="240">
        <f>IFERROR(INDEX(ImgDatabase!$J:$J, MATCH(Character[[#This Row],[NameHelper]], ImgDatabase!$E:$E, 0)), "")</f>
        <v>#VALUE!</v>
      </c>
      <c r="AC54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54" s="83" t="e" vm="273">
        <f>IFERROR(INDEX(ImgDatabase!$M:$M, MATCH(Character[[#This Row],[NameHelper]], ImgDatabase!$E:$E, 0)), "")</f>
        <v>#VALUE!</v>
      </c>
      <c r="AF54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54" s="83" t="e" vm="117">
        <f>IFERROR(INDEX(ImgDatabase!$N:$N, MATCH(Character[[#This Row],[NameHelper]], ImgDatabase!$E:$E, 0)), "")</f>
        <v>#VALUE!</v>
      </c>
      <c r="AI54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54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54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54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54" s="53" t="e" vm="272">
        <f>IFERROR(INDEX(ImgDatabase!$L:$L, MATCH(Character[[#This Row],[NameHelper]], ImgDatabase!$E:$E, 0)), "")</f>
        <v>#VALUE!</v>
      </c>
      <c r="AO54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54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54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54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54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54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54" s="89">
        <f t="shared" si="3"/>
        <v>0</v>
      </c>
      <c r="AV54" s="90">
        <f t="shared" si="4"/>
        <v>0</v>
      </c>
      <c r="AW54" s="91">
        <f t="shared" si="5"/>
        <v>0</v>
      </c>
      <c r="AY54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54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54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54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54" s="131">
        <f>SUM(Table40[[#This Row],[Ascension
Cost]:[Talent Cost
(Burst)]])</f>
        <v>0</v>
      </c>
      <c r="BE54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54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54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54" s="75">
        <f>SUM(Table53[[#This Row],[NA]:[Burst]])</f>
        <v>0</v>
      </c>
    </row>
    <row r="55" spans="1:60" ht="30" customHeight="1" x14ac:dyDescent="0.25">
      <c r="A55" s="76">
        <f>SUBTOTAL(3,$D$3:Character[[#This Row],[NameHelper]])</f>
        <v>53</v>
      </c>
      <c r="B55" s="77" t="e" vm="859">
        <f>IFERROR(INDEX(ImgDatabase!$D:$D, MATCH(Character[[#This Row],[NameHelper]], ImgDatabase!$E:$E, 0)), "")</f>
        <v>#VALUE!</v>
      </c>
      <c r="C55" s="78" t="s">
        <v>529</v>
      </c>
      <c r="D55" s="78" t="s">
        <v>529</v>
      </c>
      <c r="E55" s="53" t="e" vm="6">
        <f>IFERROR(INDEX(ImgDatabase!$G:$G, MATCH(Character[[#This Row],[NameHelper]], ImgDatabase!$E:$E, 0)), "")</f>
        <v>#VALUE!</v>
      </c>
      <c r="F55" s="53" t="e" vm="552">
        <f>IFERROR(INDEX(CharacterDetailsImg[Weapon Type], MATCH(Character[[#This Row],[NameHelper]], CharacterDetailsImg[Name], 0)), "")</f>
        <v>#VALUE!</v>
      </c>
      <c r="G55" s="79">
        <f>IFERROR(INDEX(CharacterDetailsImg[Released Version], MATCH(Character[[#This Row],[NameHelper]], CharacterDetailsImg[Name], 0)), "")</f>
        <v>1</v>
      </c>
      <c r="H55" s="51">
        <v>81</v>
      </c>
      <c r="I55" s="41">
        <v>8</v>
      </c>
      <c r="J55" s="41">
        <v>8</v>
      </c>
      <c r="K55" s="52">
        <v>8</v>
      </c>
      <c r="M55" s="80">
        <v>81</v>
      </c>
      <c r="N55" s="80">
        <v>1</v>
      </c>
      <c r="O55" s="81">
        <v>9</v>
      </c>
      <c r="P55" s="82">
        <v>9</v>
      </c>
      <c r="R55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55" s="83" t="e" vm="7">
        <f>IF(Character[[#This Row],[Name]]="Traveler","",IFERROR(INDEX(ImgDatabase!$I:$I,MATCH(Character[[#This Row],[NameHelper]],ImgDatabase!$E:$E,0)),""))</f>
        <v>#VALUE!</v>
      </c>
      <c r="U55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55" s="85" t="e" vm="212">
        <f>IF(Character[[#This Row],[Name]]="Traveler","",IFERROR(INDEX(ImgDatabase!$K:$K, MATCH(Character[[#This Row],[NameHelper]], ImgDatabase!$E:$E, 0)), ""))</f>
        <v>#VALUE!</v>
      </c>
      <c r="X55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24</v>
      </c>
      <c r="Y55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55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55" s="92" t="e" vm="167">
        <f>IFERROR(INDEX(ImgDatabase!$J:$J, MATCH(Character[[#This Row],[NameHelper]], ImgDatabase!$E:$E, 0)), "")</f>
        <v>#VALUE!</v>
      </c>
      <c r="AC55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4</v>
      </c>
      <c r="AE55" s="63" t="e" vm="576">
        <f>IFERROR(INDEX(ImgDatabase!$M:$M, MATCH(Character[[#This Row],[NameHelper]], ImgDatabase!$E:$E, 0)), "")</f>
        <v>#VALUE!</v>
      </c>
      <c r="AF55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55" s="63" t="e" vm="12">
        <f>IFERROR(INDEX(ImgDatabase!$N:$N, MATCH(Character[[#This Row],[NameHelper]], ImgDatabase!$E:$E, 0)), "")</f>
        <v>#VALUE!</v>
      </c>
      <c r="AI55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55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55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55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55" s="64" t="e" vm="435">
        <f>IFERROR(INDEX(ImgDatabase!$L:$L, MATCH(Character[[#This Row],[NameHelper]], ImgDatabase!$E:$E, 0)), "")</f>
        <v>#VALUE!</v>
      </c>
      <c r="AO55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55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55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55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18</v>
      </c>
      <c r="AS55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55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55" s="70">
        <f t="shared" si="3"/>
        <v>18</v>
      </c>
      <c r="AV55" s="71">
        <f t="shared" si="4"/>
        <v>0</v>
      </c>
      <c r="AW55" s="72">
        <f t="shared" si="5"/>
        <v>0</v>
      </c>
      <c r="AY55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55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55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450000</v>
      </c>
      <c r="BB55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450000</v>
      </c>
      <c r="BC55" s="134">
        <f>SUM(Table40[[#This Row],[Ascension
Cost]:[Talent Cost
(Burst)]])</f>
        <v>900000</v>
      </c>
      <c r="BE55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55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55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55" s="75">
        <f>SUM(Table53[[#This Row],[NA]:[Burst]])</f>
        <v>0</v>
      </c>
    </row>
    <row r="56" spans="1:60" ht="30" customHeight="1" x14ac:dyDescent="0.25">
      <c r="A56" s="76">
        <f>SUBTOTAL(3,$D$3:Character[[#This Row],[NameHelper]])</f>
        <v>54</v>
      </c>
      <c r="B56" s="77" t="e" vm="860">
        <f>IFERROR(INDEX(ImgDatabase!$D:$D, MATCH(Character[[#This Row],[NameHelper]], ImgDatabase!$E:$E, 0)), "")</f>
        <v>#VALUE!</v>
      </c>
      <c r="C56" s="78" t="s">
        <v>496</v>
      </c>
      <c r="D56" s="78" t="s">
        <v>496</v>
      </c>
      <c r="E56" s="53" t="e" vm="6">
        <f>IFERROR(INDEX(ImgDatabase!$G:$G, MATCH(Character[[#This Row],[NameHelper]], ImgDatabase!$E:$E, 0)), "")</f>
        <v>#VALUE!</v>
      </c>
      <c r="F56" s="53" t="e" vm="479">
        <f>IFERROR(INDEX(CharacterDetailsImg[Weapon Type], MATCH(Character[[#This Row],[NameHelper]], CharacterDetailsImg[Name], 0)), "")</f>
        <v>#VALUE!</v>
      </c>
      <c r="G56" s="79">
        <f>IFERROR(INDEX(CharacterDetailsImg[Released Version], MATCH(Character[[#This Row],[NameHelper]], CharacterDetailsImg[Name], 0)), "")</f>
        <v>1</v>
      </c>
      <c r="H56" s="51">
        <v>81</v>
      </c>
      <c r="I56" s="41">
        <v>1</v>
      </c>
      <c r="J56" s="41">
        <v>5</v>
      </c>
      <c r="K56" s="52">
        <v>1</v>
      </c>
      <c r="M56" s="80">
        <v>81</v>
      </c>
      <c r="N56" s="80">
        <v>1</v>
      </c>
      <c r="O56" s="81">
        <v>9</v>
      </c>
      <c r="P56" s="82">
        <v>9</v>
      </c>
      <c r="R56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56" s="83" t="e" vm="7">
        <f>IF(Character[[#This Row],[Name]]="Traveler","",IFERROR(INDEX(ImgDatabase!$I:$I,MATCH(Character[[#This Row],[NameHelper]],ImgDatabase!$E:$E,0)),""))</f>
        <v>#VALUE!</v>
      </c>
      <c r="U56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56" s="85" t="e" vm="53">
        <f>IF(Character[[#This Row],[Name]]="Traveler","",IFERROR(INDEX(ImgDatabase!$K:$K, MATCH(Character[[#This Row],[NameHelper]], ImgDatabase!$E:$E, 0)), ""))</f>
        <v>#VALUE!</v>
      </c>
      <c r="X56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56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30</v>
      </c>
      <c r="Z56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3</v>
      </c>
      <c r="AB56" s="85" t="e" vm="531">
        <f>IFERROR(INDEX(ImgDatabase!$J:$J, MATCH(Character[[#This Row],[NameHelper]], ImgDatabase!$E:$E, 0)), "")</f>
        <v>#VALUE!</v>
      </c>
      <c r="AC56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56" s="83" t="e" vm="532">
        <f>IFERROR(INDEX(ImgDatabase!$M:$M, MATCH(Character[[#This Row],[NameHelper]], ImgDatabase!$E:$E, 0)), "")</f>
        <v>#VALUE!</v>
      </c>
      <c r="AF56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56" s="83" t="e" vm="12">
        <f>IFERROR(INDEX(ImgDatabase!$N:$N, MATCH(Character[[#This Row],[NameHelper]], ImgDatabase!$E:$E, 0)), "")</f>
        <v>#VALUE!</v>
      </c>
      <c r="AI56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56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56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56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56" s="53" t="e" vm="133">
        <f>IFERROR(INDEX(ImgDatabase!$L:$L, MATCH(Character[[#This Row],[NameHelper]], ImgDatabase!$E:$E, 0)), "")</f>
        <v>#VALUE!</v>
      </c>
      <c r="AO56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56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56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56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56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31</v>
      </c>
      <c r="AT56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6</v>
      </c>
      <c r="AU56" s="89">
        <f t="shared" si="3"/>
        <v>38</v>
      </c>
      <c r="AV56" s="90">
        <f t="shared" si="4"/>
        <v>31</v>
      </c>
      <c r="AW56" s="91">
        <f t="shared" si="5"/>
        <v>6</v>
      </c>
      <c r="AY56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56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56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867500</v>
      </c>
      <c r="BB56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56" s="131">
        <f>SUM(Table40[[#This Row],[Ascension
Cost]:[Talent Cost
(Burst)]])</f>
        <v>1820000</v>
      </c>
      <c r="BE56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56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56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56" s="75">
        <f>SUM(Table53[[#This Row],[NA]:[Burst]])</f>
        <v>0</v>
      </c>
    </row>
    <row r="57" spans="1:60" ht="30" customHeight="1" x14ac:dyDescent="0.25">
      <c r="A57" s="76">
        <f>SUBTOTAL(3,$D$3:Character[[#This Row],[NameHelper]])</f>
        <v>55</v>
      </c>
      <c r="B57" s="77" t="e" vm="861">
        <f>IFERROR(INDEX(ImgDatabase!$D:$D, MATCH(Character[[#This Row],[NameHelper]], ImgDatabase!$E:$E, 0)), "")</f>
        <v>#VALUE!</v>
      </c>
      <c r="C57" s="78" t="s">
        <v>267</v>
      </c>
      <c r="D57" s="78" t="s">
        <v>267</v>
      </c>
      <c r="E57" s="53" t="e" vm="165">
        <f>IFERROR(INDEX(ImgDatabase!$G:$G, MATCH(Character[[#This Row],[NameHelper]], ImgDatabase!$E:$E, 0)), "")</f>
        <v>#VALUE!</v>
      </c>
      <c r="F57" s="53" t="e" vm="5">
        <f>IFERROR(INDEX(CharacterDetailsImg[Weapon Type], MATCH(Character[[#This Row],[NameHelper]], CharacterDetailsImg[Name], 0)), "")</f>
        <v>#VALUE!</v>
      </c>
      <c r="G57" s="79">
        <f>IFERROR(INDEX(CharacterDetailsImg[Released Version], MATCH(Character[[#This Row],[NameHelper]], CharacterDetailsImg[Name], 0)), "")</f>
        <v>1</v>
      </c>
      <c r="H57" s="51">
        <v>80</v>
      </c>
      <c r="I57" s="41">
        <v>2</v>
      </c>
      <c r="J57" s="41">
        <v>5</v>
      </c>
      <c r="K57" s="52">
        <v>5</v>
      </c>
      <c r="M57" s="80">
        <v>81</v>
      </c>
      <c r="N57" s="80">
        <v>1</v>
      </c>
      <c r="O57" s="81">
        <v>9</v>
      </c>
      <c r="P57" s="82">
        <v>9</v>
      </c>
      <c r="R57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10</v>
      </c>
      <c r="T57" s="83" t="e" vm="166">
        <f>IF(Character[[#This Row],[Name]]="Traveler","",IFERROR(INDEX(ImgDatabase!$I:$I,MATCH(Character[[#This Row],[NameHelper]],ImgDatabase!$E:$E,0)),""))</f>
        <v>#VALUE!</v>
      </c>
      <c r="U57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20</v>
      </c>
      <c r="W57" s="85" t="e" vm="212">
        <f>IF(Character[[#This Row],[Name]]="Traveler","",IFERROR(INDEX(ImgDatabase!$K:$K, MATCH(Character[[#This Row],[NameHelper]], ImgDatabase!$E:$E, 0)), ""))</f>
        <v>#VALUE!</v>
      </c>
      <c r="X57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57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18</v>
      </c>
      <c r="Z57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57" s="92" t="e" vm="282">
        <f>IFERROR(INDEX(ImgDatabase!$J:$J, MATCH(Character[[#This Row],[NameHelper]], ImgDatabase!$E:$E, 0)), "")</f>
        <v>#VALUE!</v>
      </c>
      <c r="AC57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57" s="63" t="e" vm="283">
        <f>IFERROR(INDEX(ImgDatabase!$M:$M, MATCH(Character[[#This Row],[NameHelper]], ImgDatabase!$E:$E, 0)), "")</f>
        <v>#VALUE!</v>
      </c>
      <c r="AF57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60</v>
      </c>
      <c r="AH57" s="63" t="e" vm="169">
        <f>IFERROR(INDEX(ImgDatabase!$N:$N, MATCH(Character[[#This Row],[NameHelper]], ImgDatabase!$E:$E, 0)), "")</f>
        <v>#VALUE!</v>
      </c>
      <c r="AI57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57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57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57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57" s="64" t="e" vm="10">
        <f>IFERROR(INDEX(ImgDatabase!$L:$L, MATCH(Character[[#This Row],[NameHelper]], ImgDatabase!$E:$E, 0)), "")</f>
        <v>#VALUE!</v>
      </c>
      <c r="AO57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24</v>
      </c>
      <c r="AP57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57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57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57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18</v>
      </c>
      <c r="AT57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57" s="70">
        <f t="shared" si="3"/>
        <v>62</v>
      </c>
      <c r="AV57" s="71">
        <f t="shared" si="4"/>
        <v>18</v>
      </c>
      <c r="AW57" s="72">
        <f t="shared" si="5"/>
        <v>0</v>
      </c>
      <c r="AY57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156635</v>
      </c>
      <c r="AZ57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57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867500</v>
      </c>
      <c r="BB57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867500</v>
      </c>
      <c r="BC57" s="134">
        <f>SUM(Table40[[#This Row],[Ascension
Cost]:[Talent Cost
(Burst)]])</f>
        <v>1891635</v>
      </c>
      <c r="BE57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57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57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57" s="75">
        <f>SUM(Table53[[#This Row],[NA]:[Burst]])</f>
        <v>0</v>
      </c>
    </row>
    <row r="58" spans="1:60" ht="30" customHeight="1" x14ac:dyDescent="0.25">
      <c r="A58" s="76">
        <f>SUBTOTAL(3,$D$3:Character[[#This Row],[NameHelper]])</f>
        <v>56</v>
      </c>
      <c r="B58" s="77" t="e" vm="862">
        <f>IFERROR(INDEX(ImgDatabase!$D:$D, MATCH(Character[[#This Row],[NameHelper]], ImgDatabase!$E:$E, 0)), "")</f>
        <v>#VALUE!</v>
      </c>
      <c r="C58" s="78" t="s">
        <v>699</v>
      </c>
      <c r="D58" s="78" t="s">
        <v>557</v>
      </c>
      <c r="E58" s="53" t="e" vm="91">
        <f>IFERROR(INDEX(ImgDatabase!$G:$G, MATCH(Character[[#This Row],[NameHelper]], ImgDatabase!$E:$E, 0)), "")</f>
        <v>#VALUE!</v>
      </c>
      <c r="F58" s="53" t="e" vm="546">
        <f>IFERROR(INDEX(CharacterDetailsImg[Weapon Type], MATCH(Character[[#This Row],[NameHelper]], CharacterDetailsImg[Name], 0)), "")</f>
        <v>#VALUE!</v>
      </c>
      <c r="G58" s="79">
        <f>IFERROR(INDEX(CharacterDetailsImg[Released Version], MATCH(Character[[#This Row],[NameHelper]], CharacterDetailsImg[Name], 0)), "")</f>
        <v>2.1</v>
      </c>
      <c r="H58" s="51">
        <v>90</v>
      </c>
      <c r="I58" s="41">
        <v>1</v>
      </c>
      <c r="J58" s="41">
        <v>9</v>
      </c>
      <c r="K58" s="52">
        <v>10</v>
      </c>
      <c r="M58" s="80">
        <v>81</v>
      </c>
      <c r="N58" s="80">
        <v>1</v>
      </c>
      <c r="O58" s="81">
        <v>9</v>
      </c>
      <c r="P58" s="82">
        <v>9</v>
      </c>
      <c r="R58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58" s="83" t="e" vm="424">
        <f>IF(Character[[#This Row],[Name]]="Traveler","",IFERROR(INDEX(ImgDatabase!$I:$I,MATCH(Character[[#This Row],[NameHelper]],ImgDatabase!$E:$E,0)),""))</f>
        <v>#VALUE!</v>
      </c>
      <c r="U58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58" s="85" t="e" vm="74">
        <f>IF(Character[[#This Row],[Name]]="Traveler","",IFERROR(INDEX(ImgDatabase!$K:$K, MATCH(Character[[#This Row],[NameHelper]], ImgDatabase!$E:$E, 0)), ""))</f>
        <v>#VALUE!</v>
      </c>
      <c r="X58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58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58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58" s="85" t="e" vm="350">
        <f>IFERROR(INDEX(ImgDatabase!$J:$J, MATCH(Character[[#This Row],[NameHelper]], ImgDatabase!$E:$E, 0)), "")</f>
        <v>#VALUE!</v>
      </c>
      <c r="AC58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58" s="83" t="e" vm="227">
        <f>IFERROR(INDEX(ImgDatabase!$M:$M, MATCH(Character[[#This Row],[NameHelper]], ImgDatabase!$E:$E, 0)), "")</f>
        <v>#VALUE!</v>
      </c>
      <c r="AF58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58" s="83" t="e" vm="97">
        <f>IFERROR(INDEX(ImgDatabase!$N:$N, MATCH(Character[[#This Row],[NameHelper]], ImgDatabase!$E:$E, 0)), "")</f>
        <v>#VALUE!</v>
      </c>
      <c r="AI58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58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58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58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58" s="53" t="e" vm="184">
        <f>IFERROR(INDEX(ImgDatabase!$L:$L, MATCH(Character[[#This Row],[NameHelper]], ImgDatabase!$E:$E, 0)), "")</f>
        <v>#VALUE!</v>
      </c>
      <c r="AO58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58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58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58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58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58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58" s="89">
        <f t="shared" si="3"/>
        <v>0</v>
      </c>
      <c r="AV58" s="90">
        <f t="shared" si="4"/>
        <v>0</v>
      </c>
      <c r="AW58" s="91">
        <f t="shared" si="5"/>
        <v>0</v>
      </c>
      <c r="AY58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58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58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58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58" s="131">
        <f>SUM(Table40[[#This Row],[Ascension
Cost]:[Talent Cost
(Burst)]])</f>
        <v>0</v>
      </c>
      <c r="BE58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58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58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58" s="75">
        <f>SUM(Table53[[#This Row],[NA]:[Burst]])</f>
        <v>0</v>
      </c>
    </row>
    <row r="59" spans="1:60" ht="30" customHeight="1" x14ac:dyDescent="0.25">
      <c r="A59" s="76">
        <f>SUBTOTAL(3,$D$3:Character[[#This Row],[NameHelper]])</f>
        <v>57</v>
      </c>
      <c r="B59" s="77" t="e" vm="863">
        <f>IFERROR(INDEX(ImgDatabase!$D:$D, MATCH(Character[[#This Row],[NameHelper]], ImgDatabase!$E:$E, 0)), "")</f>
        <v>#VALUE!</v>
      </c>
      <c r="C59" s="78" t="s">
        <v>499</v>
      </c>
      <c r="D59" s="78" t="s">
        <v>499</v>
      </c>
      <c r="E59" s="53" t="e" vm="91">
        <f>IFERROR(INDEX(ImgDatabase!$G:$G, MATCH(Character[[#This Row],[NameHelper]], ImgDatabase!$E:$E, 0)), "")</f>
        <v>#VALUE!</v>
      </c>
      <c r="F59" s="53" t="e" vm="479">
        <f>IFERROR(INDEX(CharacterDetailsImg[Weapon Type], MATCH(Character[[#This Row],[NameHelper]], CharacterDetailsImg[Name], 0)), "")</f>
        <v>#VALUE!</v>
      </c>
      <c r="G59" s="79">
        <f>IFERROR(INDEX(CharacterDetailsImg[Released Version], MATCH(Character[[#This Row],[NameHelper]], CharacterDetailsImg[Name], 0)), "")</f>
        <v>1</v>
      </c>
      <c r="H59" s="51">
        <v>80</v>
      </c>
      <c r="I59" s="41">
        <v>8</v>
      </c>
      <c r="J59" s="41">
        <v>6</v>
      </c>
      <c r="K59" s="52">
        <v>8</v>
      </c>
      <c r="M59" s="80">
        <v>81</v>
      </c>
      <c r="N59" s="80">
        <v>1</v>
      </c>
      <c r="O59" s="81">
        <v>9</v>
      </c>
      <c r="P59" s="82">
        <v>9</v>
      </c>
      <c r="R59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10</v>
      </c>
      <c r="T59" s="83" t="e" vm="210">
        <f>IF(Character[[#This Row],[Name]]="Traveler","",IFERROR(INDEX(ImgDatabase!$I:$I,MATCH(Character[[#This Row],[NameHelper]],ImgDatabase!$E:$E,0)),""))</f>
        <v>#VALUE!</v>
      </c>
      <c r="U59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20</v>
      </c>
      <c r="W59" s="85" t="e" vm="53">
        <f>IF(Character[[#This Row],[Name]]="Traveler","",IFERROR(INDEX(ImgDatabase!$K:$K, MATCH(Character[[#This Row],[NameHelper]], ImgDatabase!$E:$E, 0)), ""))</f>
        <v>#VALUE!</v>
      </c>
      <c r="X59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34</v>
      </c>
      <c r="Y59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59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59" s="92" t="e" vm="531">
        <f>IFERROR(INDEX(ImgDatabase!$J:$J, MATCH(Character[[#This Row],[NameHelper]], ImgDatabase!$E:$E, 0)), "")</f>
        <v>#VALUE!</v>
      </c>
      <c r="AC59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6</v>
      </c>
      <c r="AE59" s="63" t="e" vm="536">
        <f>IFERROR(INDEX(ImgDatabase!$M:$M, MATCH(Character[[#This Row],[NameHelper]], ImgDatabase!$E:$E, 0)), "")</f>
        <v>#VALUE!</v>
      </c>
      <c r="AF59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60</v>
      </c>
      <c r="AH59" s="63" t="e" vm="97">
        <f>IFERROR(INDEX(ImgDatabase!$N:$N, MATCH(Character[[#This Row],[NameHelper]], ImgDatabase!$E:$E, 0)), "")</f>
        <v>#VALUE!</v>
      </c>
      <c r="AI59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59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59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59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59" s="64" t="e" vm="133">
        <f>IFERROR(INDEX(ImgDatabase!$L:$L, MATCH(Character[[#This Row],[NameHelper]], ImgDatabase!$E:$E, 0)), "")</f>
        <v>#VALUE!</v>
      </c>
      <c r="AO59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24</v>
      </c>
      <c r="AP59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59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59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28</v>
      </c>
      <c r="AS59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59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59" s="70">
        <f t="shared" si="3"/>
        <v>52</v>
      </c>
      <c r="AV59" s="71">
        <f t="shared" si="4"/>
        <v>0</v>
      </c>
      <c r="AW59" s="72">
        <f t="shared" si="5"/>
        <v>0</v>
      </c>
      <c r="AY59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156635</v>
      </c>
      <c r="AZ59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59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830000</v>
      </c>
      <c r="BB59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450000</v>
      </c>
      <c r="BC59" s="134">
        <f>SUM(Table40[[#This Row],[Ascension
Cost]:[Talent Cost
(Burst)]])</f>
        <v>1436635</v>
      </c>
      <c r="BE59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59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59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59" s="75">
        <f>SUM(Table53[[#This Row],[NA]:[Burst]])</f>
        <v>0</v>
      </c>
    </row>
    <row r="60" spans="1:60" ht="30" customHeight="1" x14ac:dyDescent="0.25">
      <c r="A60" s="76">
        <f>SUBTOTAL(3,$D$3:Character[[#This Row],[NameHelper]])</f>
        <v>58</v>
      </c>
      <c r="B60" s="77" t="e" vm="864">
        <f>IFERROR(INDEX(ImgDatabase!$D:$D, MATCH(Character[[#This Row],[NameHelper]], ImgDatabase!$E:$E, 0)), "")</f>
        <v>#VALUE!</v>
      </c>
      <c r="C60" s="78" t="s">
        <v>559</v>
      </c>
      <c r="D60" s="78" t="s">
        <v>559</v>
      </c>
      <c r="E60" s="53" t="e" vm="165">
        <f>IFERROR(INDEX(ImgDatabase!$G:$G, MATCH(Character[[#This Row],[NameHelper]], ImgDatabase!$E:$E, 0)), "")</f>
        <v>#VALUE!</v>
      </c>
      <c r="F60" s="53" t="e" vm="546">
        <f>IFERROR(INDEX(CharacterDetailsImg[Weapon Type], MATCH(Character[[#This Row],[NameHelper]], CharacterDetailsImg[Name], 0)), "")</f>
        <v>#VALUE!</v>
      </c>
      <c r="G60" s="79">
        <f>IFERROR(INDEX(CharacterDetailsImg[Released Version], MATCH(Character[[#This Row],[NameHelper]], CharacterDetailsImg[Name], 0)), "")</f>
        <v>1.4</v>
      </c>
      <c r="H60" s="51">
        <v>21</v>
      </c>
      <c r="I60" s="41">
        <v>1</v>
      </c>
      <c r="J60" s="41">
        <v>1</v>
      </c>
      <c r="K60" s="52">
        <v>1</v>
      </c>
      <c r="M60" s="80">
        <v>81</v>
      </c>
      <c r="N60" s="80">
        <v>1</v>
      </c>
      <c r="O60" s="81">
        <v>9</v>
      </c>
      <c r="P60" s="82">
        <v>9</v>
      </c>
      <c r="R60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250</v>
      </c>
      <c r="T60" s="83" t="e" vm="166">
        <f>IF(Character[[#This Row],[Name]]="Traveler","",IFERROR(INDEX(ImgDatabase!$I:$I,MATCH(Character[[#This Row],[NameHelper]],ImgDatabase!$E:$E,0)),""))</f>
        <v>#VALUE!</v>
      </c>
      <c r="U60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60" s="85" t="e" vm="9">
        <f>IF(Character[[#This Row],[Name]]="Traveler","",IFERROR(INDEX(ImgDatabase!$K:$K, MATCH(Character[[#This Row],[NameHelper]], ImgDatabase!$E:$E, 0)), ""))</f>
        <v>#VALUE!</v>
      </c>
      <c r="X60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60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60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60" s="85" t="e" vm="408">
        <f>IFERROR(INDEX(ImgDatabase!$J:$J, MATCH(Character[[#This Row],[NameHelper]], ImgDatabase!$E:$E, 0)), "")</f>
        <v>#VALUE!</v>
      </c>
      <c r="AC60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60" s="83" t="e" vm="532">
        <f>IFERROR(INDEX(ImgDatabase!$M:$M, MATCH(Character[[#This Row],[NameHelper]], ImgDatabase!$E:$E, 0)), "")</f>
        <v>#VALUE!</v>
      </c>
      <c r="AF60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60" s="83" t="e" vm="169">
        <f>IFERROR(INDEX(ImgDatabase!$N:$N, MATCH(Character[[#This Row],[NameHelper]], ImgDatabase!$E:$E, 0)), "")</f>
        <v>#VALUE!</v>
      </c>
      <c r="AI60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60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60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60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60" s="53" t="e" vm="435">
        <f>IFERROR(INDEX(ImgDatabase!$L:$L, MATCH(Character[[#This Row],[NameHelper]], ImgDatabase!$E:$E, 0)), "")</f>
        <v>#VALUE!</v>
      </c>
      <c r="AO60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60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60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60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60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60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60" s="89">
        <f t="shared" si="3"/>
        <v>74</v>
      </c>
      <c r="AV60" s="90">
        <f t="shared" si="4"/>
        <v>74</v>
      </c>
      <c r="AW60" s="91">
        <f t="shared" si="5"/>
        <v>27</v>
      </c>
      <c r="AY60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1397530</v>
      </c>
      <c r="AZ60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60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60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60" s="131">
        <f>SUM(Table40[[#This Row],[Ascension
Cost]:[Talent Cost
(Burst)]])</f>
        <v>3302530</v>
      </c>
      <c r="BE60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60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60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60" s="75">
        <f>SUM(Table53[[#This Row],[NA]:[Burst]])</f>
        <v>0</v>
      </c>
    </row>
    <row r="61" spans="1:60" ht="30" customHeight="1" x14ac:dyDescent="0.25">
      <c r="A61" s="76">
        <f>SUBTOTAL(3,$D$3:Character[[#This Row],[NameHelper]])</f>
        <v>59</v>
      </c>
      <c r="B61" s="77" t="e" vm="865">
        <f>IFERROR(INDEX(ImgDatabase!$D:$D, MATCH(Character[[#This Row],[NameHelper]], ImgDatabase!$E:$E, 0)), "")</f>
        <v>#VALUE!</v>
      </c>
      <c r="C61" s="78" t="s">
        <v>700</v>
      </c>
      <c r="D61" s="78" t="s">
        <v>531</v>
      </c>
      <c r="E61" s="53" t="e" vm="112">
        <f>IFERROR(INDEX(ImgDatabase!$G:$G, MATCH(Character[[#This Row],[NameHelper]], ImgDatabase!$E:$E, 0)), "")</f>
        <v>#VALUE!</v>
      </c>
      <c r="F61" s="53" t="e" vm="552">
        <f>IFERROR(INDEX(CharacterDetailsImg[Weapon Type], MATCH(Character[[#This Row],[NameHelper]], CharacterDetailsImg[Name], 0)), "")</f>
        <v>#VALUE!</v>
      </c>
      <c r="G61" s="79">
        <f>IFERROR(INDEX(CharacterDetailsImg[Released Version], MATCH(Character[[#This Row],[NameHelper]], CharacterDetailsImg[Name], 0)), "")</f>
        <v>2.1</v>
      </c>
      <c r="H61" s="51">
        <v>90</v>
      </c>
      <c r="I61" s="41">
        <v>1</v>
      </c>
      <c r="J61" s="41">
        <v>9</v>
      </c>
      <c r="K61" s="52">
        <v>9</v>
      </c>
      <c r="M61" s="80">
        <v>81</v>
      </c>
      <c r="N61" s="80">
        <v>1</v>
      </c>
      <c r="O61" s="81">
        <v>9</v>
      </c>
      <c r="P61" s="82">
        <v>9</v>
      </c>
      <c r="R61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61" s="83" t="e" vm="197">
        <f>IF(Character[[#This Row],[Name]]="Traveler","",IFERROR(INDEX(ImgDatabase!$I:$I,MATCH(Character[[#This Row],[NameHelper]],ImgDatabase!$E:$E,0)),""))</f>
        <v>#VALUE!</v>
      </c>
      <c r="U61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61" s="85" t="e" vm="226">
        <f>IF(Character[[#This Row],[Name]]="Traveler","",IFERROR(INDEX(ImgDatabase!$K:$K, MATCH(Character[[#This Row],[NameHelper]], ImgDatabase!$E:$E, 0)), ""))</f>
        <v>#VALUE!</v>
      </c>
      <c r="X61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61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61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61" s="92" t="e" vm="579">
        <f>IFERROR(INDEX(ImgDatabase!$J:$J, MATCH(Character[[#This Row],[NameHelper]], ImgDatabase!$E:$E, 0)), "")</f>
        <v>#VALUE!</v>
      </c>
      <c r="AC61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61" s="63" t="e" vm="417">
        <f>IFERROR(INDEX(ImgDatabase!$M:$M, MATCH(Character[[#This Row],[NameHelper]], ImgDatabase!$E:$E, 0)), "")</f>
        <v>#VALUE!</v>
      </c>
      <c r="AF61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61" s="63" t="e" vm="117">
        <f>IFERROR(INDEX(ImgDatabase!$N:$N, MATCH(Character[[#This Row],[NameHelper]], ImgDatabase!$E:$E, 0)), "")</f>
        <v>#VALUE!</v>
      </c>
      <c r="AI61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61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61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61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61" s="64" t="e" vm="75">
        <f>IFERROR(INDEX(ImgDatabase!$L:$L, MATCH(Character[[#This Row],[NameHelper]], ImgDatabase!$E:$E, 0)), "")</f>
        <v>#VALUE!</v>
      </c>
      <c r="AO61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61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61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61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61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61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61" s="70">
        <f t="shared" si="3"/>
        <v>0</v>
      </c>
      <c r="AV61" s="71">
        <f t="shared" si="4"/>
        <v>0</v>
      </c>
      <c r="AW61" s="72">
        <f t="shared" si="5"/>
        <v>0</v>
      </c>
      <c r="AY61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61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61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61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61" s="134">
        <f>SUM(Table40[[#This Row],[Ascension
Cost]:[Talent Cost
(Burst)]])</f>
        <v>0</v>
      </c>
      <c r="BE61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61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61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61" s="75">
        <f>SUM(Table53[[#This Row],[NA]:[Burst]])</f>
        <v>0</v>
      </c>
    </row>
    <row r="62" spans="1:60" ht="30" customHeight="1" x14ac:dyDescent="0.25">
      <c r="A62" s="76">
        <f>SUBTOTAL(3,$D$3:Character[[#This Row],[NameHelper]])</f>
        <v>60</v>
      </c>
      <c r="B62" s="77" t="e" vm="866">
        <f>IFERROR(INDEX(ImgDatabase!$D:$D, MATCH(Character[[#This Row],[NameHelper]], ImgDatabase!$E:$E, 0)), "")</f>
        <v>#VALUE!</v>
      </c>
      <c r="C62" s="78" t="s">
        <v>502</v>
      </c>
      <c r="D62" s="78" t="s">
        <v>502</v>
      </c>
      <c r="E62" s="53" t="e" vm="131">
        <f>IFERROR(INDEX(ImgDatabase!$G:$G, MATCH(Character[[#This Row],[NameHelper]], ImgDatabase!$E:$E, 0)), "")</f>
        <v>#VALUE!</v>
      </c>
      <c r="F62" s="53" t="e" vm="479">
        <f>IFERROR(INDEX(CharacterDetailsImg[Weapon Type], MATCH(Character[[#This Row],[NameHelper]], CharacterDetailsImg[Name], 0)), "")</f>
        <v>#VALUE!</v>
      </c>
      <c r="G62" s="79">
        <f>IFERROR(INDEX(CharacterDetailsImg[Released Version], MATCH(Character[[#This Row],[NameHelper]], CharacterDetailsImg[Name], 0)), "")</f>
        <v>2</v>
      </c>
      <c r="H62" s="51">
        <v>22</v>
      </c>
      <c r="I62" s="41">
        <v>1</v>
      </c>
      <c r="J62" s="41">
        <v>1</v>
      </c>
      <c r="K62" s="52">
        <v>1</v>
      </c>
      <c r="M62" s="80">
        <v>81</v>
      </c>
      <c r="N62" s="80">
        <v>1</v>
      </c>
      <c r="O62" s="81">
        <v>9</v>
      </c>
      <c r="P62" s="82">
        <v>9</v>
      </c>
      <c r="R62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249</v>
      </c>
      <c r="T62" s="83" t="e" vm="149">
        <f>IF(Character[[#This Row],[Name]]="Traveler","",IFERROR(INDEX(ImgDatabase!$I:$I,MATCH(Character[[#This Row],[NameHelper]],ImgDatabase!$E:$E,0)),""))</f>
        <v>#VALUE!</v>
      </c>
      <c r="U62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62" s="85" t="e" vm="74">
        <f>IF(Character[[#This Row],[Name]]="Traveler","",IFERROR(INDEX(ImgDatabase!$K:$K, MATCH(Character[[#This Row],[NameHelper]], ImgDatabase!$E:$E, 0)), ""))</f>
        <v>#VALUE!</v>
      </c>
      <c r="X62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62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62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62" s="85" t="e" vm="150">
        <f>IFERROR(INDEX(ImgDatabase!$J:$J, MATCH(Character[[#This Row],[NameHelper]], ImgDatabase!$E:$E, 0)), "")</f>
        <v>#VALUE!</v>
      </c>
      <c r="AC62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62" s="83" t="e" vm="352">
        <f>IFERROR(INDEX(ImgDatabase!$M:$M, MATCH(Character[[#This Row],[NameHelper]], ImgDatabase!$E:$E, 0)), "")</f>
        <v>#VALUE!</v>
      </c>
      <c r="AF62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62" s="83" t="e" vm="135">
        <f>IFERROR(INDEX(ImgDatabase!$N:$N, MATCH(Character[[#This Row],[NameHelper]], ImgDatabase!$E:$E, 0)), "")</f>
        <v>#VALUE!</v>
      </c>
      <c r="AI62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62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62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62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62" s="53" t="e" vm="115">
        <f>IFERROR(INDEX(ImgDatabase!$L:$L, MATCH(Character[[#This Row],[NameHelper]], ImgDatabase!$E:$E, 0)), "")</f>
        <v>#VALUE!</v>
      </c>
      <c r="AO62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62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62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62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62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62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62" s="89">
        <f t="shared" si="3"/>
        <v>74</v>
      </c>
      <c r="AV62" s="90">
        <f t="shared" si="4"/>
        <v>74</v>
      </c>
      <c r="AW62" s="91">
        <f t="shared" si="5"/>
        <v>27</v>
      </c>
      <c r="AY62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1394170</v>
      </c>
      <c r="AZ62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62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62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62" s="131">
        <f>SUM(Table40[[#This Row],[Ascension
Cost]:[Talent Cost
(Burst)]])</f>
        <v>3299170</v>
      </c>
      <c r="BE62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62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62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62" s="75">
        <f>SUM(Table53[[#This Row],[NA]:[Burst]])</f>
        <v>0</v>
      </c>
    </row>
    <row r="63" spans="1:60" ht="30" customHeight="1" x14ac:dyDescent="0.25">
      <c r="A63" s="76">
        <f>SUBTOTAL(3,$D$3:Character[[#This Row],[NameHelper]])</f>
        <v>61</v>
      </c>
      <c r="B63" s="77" t="e" vm="867">
        <f>IFERROR(INDEX(ImgDatabase!$D:$D, MATCH(Character[[#This Row],[NameHelper]], ImgDatabase!$E:$E, 0)), "")</f>
        <v>#VALUE!</v>
      </c>
      <c r="C63" s="78" t="s">
        <v>25</v>
      </c>
      <c r="D63" s="78" t="s">
        <v>25</v>
      </c>
      <c r="E63" s="53" t="e" vm="91">
        <f>IFERROR(INDEX(ImgDatabase!$G:$G, MATCH(Character[[#This Row],[NameHelper]], ImgDatabase!$E:$E, 0)), "")</f>
        <v>#VALUE!</v>
      </c>
      <c r="F63" s="53" t="e" vm="348">
        <f>IFERROR(INDEX(CharacterDetailsImg[Weapon Type], MATCH(Character[[#This Row],[NameHelper]], CharacterDetailsImg[Name], 0)), "")</f>
        <v>#VALUE!</v>
      </c>
      <c r="G63" s="79">
        <f>IFERROR(INDEX(CharacterDetailsImg[Released Version], MATCH(Character[[#This Row],[NameHelper]], CharacterDetailsImg[Name], 0)), "")</f>
        <v>4.8</v>
      </c>
      <c r="H63" s="51">
        <v>0</v>
      </c>
      <c r="I63" s="41">
        <v>0</v>
      </c>
      <c r="J63" s="41">
        <v>0</v>
      </c>
      <c r="K63" s="52">
        <v>0</v>
      </c>
      <c r="M63" s="80">
        <v>81</v>
      </c>
      <c r="N63" s="80">
        <v>1</v>
      </c>
      <c r="O63" s="81">
        <v>9</v>
      </c>
      <c r="P63" s="82">
        <v>9</v>
      </c>
      <c r="R63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63" s="83" t="e" vm="442">
        <f>IF(Character[[#This Row],[Name]]="Traveler","",IFERROR(INDEX(ImgDatabase!$I:$I,MATCH(Character[[#This Row],[NameHelper]],ImgDatabase!$E:$E,0)),""))</f>
        <v>#VALUE!</v>
      </c>
      <c r="U63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63" s="85" t="e" vm="271">
        <f>IF(Character[[#This Row],[Name]]="Traveler","",IFERROR(INDEX(ImgDatabase!$K:$K, MATCH(Character[[#This Row],[NameHelper]], ImgDatabase!$E:$E, 0)), ""))</f>
        <v>#VALUE!</v>
      </c>
      <c r="X63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63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63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63" s="92" t="e" vm="443">
        <f>IFERROR(INDEX(ImgDatabase!$J:$J, MATCH(Character[[#This Row],[NameHelper]], ImgDatabase!$E:$E, 0)), "")</f>
        <v>#VALUE!</v>
      </c>
      <c r="AC63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63" s="63" t="e" vm="444">
        <f>IFERROR(INDEX(ImgDatabase!$M:$M, MATCH(Character[[#This Row],[NameHelper]], ImgDatabase!$E:$E, 0)), "")</f>
        <v>#VALUE!</v>
      </c>
      <c r="AF63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63" s="63" t="e" vm="97">
        <f>IFERROR(INDEX(ImgDatabase!$N:$N, MATCH(Character[[#This Row],[NameHelper]], ImgDatabase!$E:$E, 0)), "")</f>
        <v>#VALUE!</v>
      </c>
      <c r="AI63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63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63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63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63" s="64" t="e" vm="32">
        <f>IFERROR(INDEX(ImgDatabase!$L:$L, MATCH(Character[[#This Row],[NameHelper]], ImgDatabase!$E:$E, 0)), "")</f>
        <v>#VALUE!</v>
      </c>
      <c r="AO63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63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63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63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63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63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63" s="70">
        <f t="shared" si="3"/>
        <v>0</v>
      </c>
      <c r="AV63" s="71">
        <f t="shared" si="4"/>
        <v>0</v>
      </c>
      <c r="AW63" s="72">
        <f t="shared" si="5"/>
        <v>0</v>
      </c>
      <c r="AY63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63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63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63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63" s="134">
        <f>SUM(Table40[[#This Row],[Ascension
Cost]:[Talent Cost
(Burst)]])</f>
        <v>0</v>
      </c>
      <c r="BE63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63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63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63" s="75">
        <f>SUM(Table53[[#This Row],[NA]:[Burst]])</f>
        <v>0</v>
      </c>
    </row>
    <row r="64" spans="1:60" ht="30" customHeight="1" x14ac:dyDescent="0.25">
      <c r="A64" s="76">
        <f>SUBTOTAL(3,$D$3:Character[[#This Row],[NameHelper]])</f>
        <v>62</v>
      </c>
      <c r="B64" s="77" t="e" vm="868">
        <f>IFERROR(INDEX(ImgDatabase!$D:$D, MATCH(Character[[#This Row],[NameHelper]], ImgDatabase!$E:$E, 0)), "")</f>
        <v>#VALUE!</v>
      </c>
      <c r="C64" s="78" t="s">
        <v>561</v>
      </c>
      <c r="D64" s="78" t="s">
        <v>561</v>
      </c>
      <c r="E64" s="53" t="e" vm="165">
        <f>IFERROR(INDEX(ImgDatabase!$G:$G, MATCH(Character[[#This Row],[NameHelper]], ImgDatabase!$E:$E, 0)), "")</f>
        <v>#VALUE!</v>
      </c>
      <c r="F64" s="53" t="e" vm="546">
        <f>IFERROR(INDEX(CharacterDetailsImg[Weapon Type], MATCH(Character[[#This Row],[NameHelper]], CharacterDetailsImg[Name], 0)), "")</f>
        <v>#VALUE!</v>
      </c>
      <c r="G64" s="79">
        <f>IFERROR(INDEX(CharacterDetailsImg[Released Version], MATCH(Character[[#This Row],[NameHelper]], CharacterDetailsImg[Name], 0)), "")</f>
        <v>2.4</v>
      </c>
      <c r="H64" s="51">
        <v>90</v>
      </c>
      <c r="I64" s="41">
        <v>1</v>
      </c>
      <c r="J64" s="41">
        <v>10</v>
      </c>
      <c r="K64" s="52">
        <v>9</v>
      </c>
      <c r="M64" s="80">
        <v>81</v>
      </c>
      <c r="N64" s="80">
        <v>1</v>
      </c>
      <c r="O64" s="81">
        <v>9</v>
      </c>
      <c r="P64" s="82">
        <v>9</v>
      </c>
      <c r="R64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64" s="83" t="e" vm="595">
        <f>IF(Character[[#This Row],[Name]]="Traveler","",IFERROR(INDEX(ImgDatabase!$I:$I,MATCH(Character[[#This Row],[NameHelper]],ImgDatabase!$E:$E,0)),""))</f>
        <v>#VALUE!</v>
      </c>
      <c r="U64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64" s="85" t="e" vm="212">
        <f>IF(Character[[#This Row],[Name]]="Traveler","",IFERROR(INDEX(ImgDatabase!$K:$K, MATCH(Character[[#This Row],[NameHelper]], ImgDatabase!$E:$E, 0)), ""))</f>
        <v>#VALUE!</v>
      </c>
      <c r="X64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64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64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64" s="85" t="e" vm="579">
        <f>IFERROR(INDEX(ImgDatabase!$J:$J, MATCH(Character[[#This Row],[NameHelper]], ImgDatabase!$E:$E, 0)), "")</f>
        <v>#VALUE!</v>
      </c>
      <c r="AC64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64" s="83" t="e" vm="409">
        <f>IFERROR(INDEX(ImgDatabase!$M:$M, MATCH(Character[[#This Row],[NameHelper]], ImgDatabase!$E:$E, 0)), "")</f>
        <v>#VALUE!</v>
      </c>
      <c r="AF64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64" s="83" t="e" vm="169">
        <f>IFERROR(INDEX(ImgDatabase!$N:$N, MATCH(Character[[#This Row],[NameHelper]], ImgDatabase!$E:$E, 0)), "")</f>
        <v>#VALUE!</v>
      </c>
      <c r="AI64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64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64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64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64" s="53" t="e" vm="115">
        <f>IFERROR(INDEX(ImgDatabase!$L:$L, MATCH(Character[[#This Row],[NameHelper]], ImgDatabase!$E:$E, 0)), "")</f>
        <v>#VALUE!</v>
      </c>
      <c r="AO64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64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64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64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64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64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64" s="89">
        <f t="shared" si="3"/>
        <v>0</v>
      </c>
      <c r="AV64" s="90">
        <f t="shared" si="4"/>
        <v>0</v>
      </c>
      <c r="AW64" s="91">
        <f t="shared" si="5"/>
        <v>0</v>
      </c>
      <c r="AY64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64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64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64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64" s="131">
        <f>SUM(Table40[[#This Row],[Ascension
Cost]:[Talent Cost
(Burst)]])</f>
        <v>0</v>
      </c>
      <c r="BE64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64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64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64" s="75">
        <f>SUM(Table53[[#This Row],[NA]:[Burst]])</f>
        <v>0</v>
      </c>
    </row>
    <row r="65" spans="1:60" ht="30" customHeight="1" x14ac:dyDescent="0.25">
      <c r="A65" s="76">
        <f>SUBTOTAL(3,$D$3:Character[[#This Row],[NameHelper]])</f>
        <v>63</v>
      </c>
      <c r="B65" s="77" t="e" vm="869">
        <f>IFERROR(INDEX(ImgDatabase!$D:$D, MATCH(Character[[#This Row],[NameHelper]], ImgDatabase!$E:$E, 0)), "")</f>
        <v>#VALUE!</v>
      </c>
      <c r="C65" s="78" t="s">
        <v>701</v>
      </c>
      <c r="D65" s="78" t="s">
        <v>533</v>
      </c>
      <c r="E65" s="53" t="e" vm="131">
        <f>IFERROR(INDEX(ImgDatabase!$G:$G, MATCH(Character[[#This Row],[NameHelper]], ImgDatabase!$E:$E, 0)), "")</f>
        <v>#VALUE!</v>
      </c>
      <c r="F65" s="53" t="e" vm="552">
        <f>IFERROR(INDEX(CharacterDetailsImg[Weapon Type], MATCH(Character[[#This Row],[NameHelper]], CharacterDetailsImg[Name], 0)), "")</f>
        <v>#VALUE!</v>
      </c>
      <c r="G65" s="79">
        <f>IFERROR(INDEX(CharacterDetailsImg[Released Version], MATCH(Character[[#This Row],[NameHelper]], CharacterDetailsImg[Name], 0)), "")</f>
        <v>2.8</v>
      </c>
      <c r="H65" s="51">
        <v>60</v>
      </c>
      <c r="I65" s="41">
        <v>1</v>
      </c>
      <c r="J65" s="41">
        <v>1</v>
      </c>
      <c r="K65" s="52">
        <v>1</v>
      </c>
      <c r="M65" s="80">
        <v>81</v>
      </c>
      <c r="N65" s="80">
        <v>1</v>
      </c>
      <c r="O65" s="81">
        <v>9</v>
      </c>
      <c r="P65" s="82">
        <v>9</v>
      </c>
      <c r="R65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150</v>
      </c>
      <c r="T65" s="83" t="e" vm="239">
        <f>IF(Character[[#This Row],[Name]]="Traveler","",IFERROR(INDEX(ImgDatabase!$I:$I,MATCH(Character[[#This Row],[NameHelper]],ImgDatabase!$E:$E,0)),""))</f>
        <v>#VALUE!</v>
      </c>
      <c r="U65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40</v>
      </c>
      <c r="W65" s="85" t="e" vm="226">
        <f>IF(Character[[#This Row],[Name]]="Traveler","",IFERROR(INDEX(ImgDatabase!$K:$K, MATCH(Character[[#This Row],[NameHelper]], ImgDatabase!$E:$E, 0)), ""))</f>
        <v>#VALUE!</v>
      </c>
      <c r="X65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65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65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65" s="92" t="e" vm="456">
        <f>IFERROR(INDEX(ImgDatabase!$J:$J, MATCH(Character[[#This Row],[NameHelper]], ImgDatabase!$E:$E, 0)), "")</f>
        <v>#VALUE!</v>
      </c>
      <c r="AC65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65" s="63" t="e" vm="481">
        <f>IFERROR(INDEX(ImgDatabase!$M:$M, MATCH(Character[[#This Row],[NameHelper]], ImgDatabase!$E:$E, 0)), "")</f>
        <v>#VALUE!</v>
      </c>
      <c r="AF65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135</v>
      </c>
      <c r="AH65" s="63" t="e" vm="135">
        <f>IFERROR(INDEX(ImgDatabase!$N:$N, MATCH(Character[[#This Row],[NameHelper]], ImgDatabase!$E:$E, 0)), "")</f>
        <v>#VALUE!</v>
      </c>
      <c r="AI65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65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65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65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65" s="64" t="e" vm="54">
        <f>IFERROR(INDEX(ImgDatabase!$L:$L, MATCH(Character[[#This Row],[NameHelper]], ImgDatabase!$E:$E, 0)), "")</f>
        <v>#VALUE!</v>
      </c>
      <c r="AO65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65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18</v>
      </c>
      <c r="AQ65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65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65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65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65" s="70">
        <f t="shared" si="3"/>
        <v>74</v>
      </c>
      <c r="AV65" s="71">
        <f t="shared" si="4"/>
        <v>62</v>
      </c>
      <c r="AW65" s="72">
        <f t="shared" si="5"/>
        <v>12</v>
      </c>
      <c r="AY65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898195</v>
      </c>
      <c r="AZ65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65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65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65" s="134">
        <f>SUM(Table40[[#This Row],[Ascension
Cost]:[Talent Cost
(Burst)]])</f>
        <v>2803195</v>
      </c>
      <c r="BE65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65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65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65" s="75">
        <f>SUM(Table53[[#This Row],[NA]:[Burst]])</f>
        <v>0</v>
      </c>
    </row>
    <row r="66" spans="1:60" ht="30" customHeight="1" x14ac:dyDescent="0.25">
      <c r="A66" s="76">
        <f>SUBTOTAL(3,$D$3:Character[[#This Row],[NameHelper]])</f>
        <v>64</v>
      </c>
      <c r="B66" s="77" t="e" vm="870">
        <f>IFERROR(INDEX(ImgDatabase!$D:$D, MATCH(Character[[#This Row],[NameHelper]], ImgDatabase!$E:$E, 0)), "")</f>
        <v>#VALUE!</v>
      </c>
      <c r="C66" s="78" t="s">
        <v>535</v>
      </c>
      <c r="D66" s="78" t="s">
        <v>535</v>
      </c>
      <c r="E66" s="53" t="e" vm="131">
        <f>IFERROR(INDEX(ImgDatabase!$G:$G, MATCH(Character[[#This Row],[NameHelper]], ImgDatabase!$E:$E, 0)), "")</f>
        <v>#VALUE!</v>
      </c>
      <c r="F66" s="53" t="e" vm="552">
        <f>IFERROR(INDEX(CharacterDetailsImg[Weapon Type], MATCH(Character[[#This Row],[NameHelper]], CharacterDetailsImg[Name], 0)), "")</f>
        <v>#VALUE!</v>
      </c>
      <c r="G66" s="79">
        <f>IFERROR(INDEX(CharacterDetailsImg[Released Version], MATCH(Character[[#This Row],[NameHelper]], CharacterDetailsImg[Name], 0)), "")</f>
        <v>1</v>
      </c>
      <c r="H66" s="51">
        <v>81</v>
      </c>
      <c r="I66" s="41">
        <v>1</v>
      </c>
      <c r="J66" s="41">
        <v>8</v>
      </c>
      <c r="K66" s="52">
        <v>9</v>
      </c>
      <c r="M66" s="80">
        <v>81</v>
      </c>
      <c r="N66" s="80">
        <v>1</v>
      </c>
      <c r="O66" s="81">
        <v>9</v>
      </c>
      <c r="P66" s="82">
        <v>9</v>
      </c>
      <c r="R66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66" s="83" t="e" vm="132">
        <f>IF(Character[[#This Row],[Name]]="Traveler","",IFERROR(INDEX(ImgDatabase!$I:$I,MATCH(Character[[#This Row],[NameHelper]],ImgDatabase!$E:$E,0)),""))</f>
        <v>#VALUE!</v>
      </c>
      <c r="U66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66" s="85" t="e" vm="351">
        <f>IF(Character[[#This Row],[Name]]="Traveler","",IFERROR(INDEX(ImgDatabase!$K:$K, MATCH(Character[[#This Row],[NameHelper]], ImgDatabase!$E:$E, 0)), ""))</f>
        <v>#VALUE!</v>
      </c>
      <c r="X66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12</v>
      </c>
      <c r="Y66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66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66" s="85" t="e" vm="167">
        <f>IFERROR(INDEX(ImgDatabase!$J:$J, MATCH(Character[[#This Row],[NameHelper]], ImgDatabase!$E:$E, 0)), "")</f>
        <v>#VALUE!</v>
      </c>
      <c r="AC66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2</v>
      </c>
      <c r="AE66" s="83" t="e" vm="55">
        <f>IFERROR(INDEX(ImgDatabase!$M:$M, MATCH(Character[[#This Row],[NameHelper]], ImgDatabase!$E:$E, 0)), "")</f>
        <v>#VALUE!</v>
      </c>
      <c r="AF66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66" s="83" t="e" vm="135">
        <f>IFERROR(INDEX(ImgDatabase!$N:$N, MATCH(Character[[#This Row],[NameHelper]], ImgDatabase!$E:$E, 0)), "")</f>
        <v>#VALUE!</v>
      </c>
      <c r="AI66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66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66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66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66" s="53" t="e" vm="115">
        <f>IFERROR(INDEX(ImgDatabase!$L:$L, MATCH(Character[[#This Row],[NameHelper]], ImgDatabase!$E:$E, 0)), "")</f>
        <v>#VALUE!</v>
      </c>
      <c r="AO66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66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66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66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9</v>
      </c>
      <c r="AS66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66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66" s="89">
        <f t="shared" si="3"/>
        <v>9</v>
      </c>
      <c r="AV66" s="90">
        <f t="shared" si="4"/>
        <v>0</v>
      </c>
      <c r="AW66" s="91">
        <f t="shared" si="5"/>
        <v>0</v>
      </c>
      <c r="AY66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66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66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450000</v>
      </c>
      <c r="BB66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66" s="131">
        <f>SUM(Table40[[#This Row],[Ascension
Cost]:[Talent Cost
(Burst)]])</f>
        <v>450000</v>
      </c>
      <c r="BE66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66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66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66" s="75">
        <f>SUM(Table53[[#This Row],[NA]:[Burst]])</f>
        <v>0</v>
      </c>
    </row>
    <row r="67" spans="1:60" ht="30" customHeight="1" x14ac:dyDescent="0.25">
      <c r="A67" s="76">
        <f>SUBTOTAL(3,$D$3:Character[[#This Row],[NameHelper]])</f>
        <v>65</v>
      </c>
      <c r="B67" s="77" t="e" vm="871">
        <f>IFERROR(INDEX(ImgDatabase!$D:$D, MATCH(Character[[#This Row],[NameHelper]], ImgDatabase!$E:$E, 0)), "")</f>
        <v>#VALUE!</v>
      </c>
      <c r="C67" s="78" t="s">
        <v>433</v>
      </c>
      <c r="D67" s="78" t="s">
        <v>433</v>
      </c>
      <c r="E67" s="53" t="e" vm="112">
        <f>IFERROR(INDEX(ImgDatabase!$G:$G, MATCH(Character[[#This Row],[NameHelper]], ImgDatabase!$E:$E, 0)), "")</f>
        <v>#VALUE!</v>
      </c>
      <c r="F67" s="53" t="e" vm="348">
        <f>IFERROR(INDEX(CharacterDetailsImg[Weapon Type], MATCH(Character[[#This Row],[NameHelper]], CharacterDetailsImg[Name], 0)), "")</f>
        <v>#VALUE!</v>
      </c>
      <c r="G67" s="79">
        <f>IFERROR(INDEX(CharacterDetailsImg[Released Version], MATCH(Character[[#This Row],[NameHelper]], CharacterDetailsImg[Name], 0)), "")</f>
        <v>1.1000000000000001</v>
      </c>
      <c r="H67" s="51">
        <v>0</v>
      </c>
      <c r="I67" s="41">
        <v>0</v>
      </c>
      <c r="J67" s="41">
        <v>0</v>
      </c>
      <c r="K67" s="52">
        <v>0</v>
      </c>
      <c r="M67" s="80">
        <v>81</v>
      </c>
      <c r="N67" s="80">
        <v>1</v>
      </c>
      <c r="O67" s="81">
        <v>9</v>
      </c>
      <c r="P67" s="82">
        <v>9</v>
      </c>
      <c r="R67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67" s="83" t="e" vm="337">
        <f>IF(Character[[#This Row],[Name]]="Traveler","",IFERROR(INDEX(ImgDatabase!$I:$I,MATCH(Character[[#This Row],[NameHelper]],ImgDatabase!$E:$E,0)),""))</f>
        <v>#VALUE!</v>
      </c>
      <c r="U67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67" s="85" t="e" vm="351">
        <f>IF(Character[[#This Row],[Name]]="Traveler","",IFERROR(INDEX(ImgDatabase!$K:$K, MATCH(Character[[#This Row],[NameHelper]], ImgDatabase!$E:$E, 0)), ""))</f>
        <v>#VALUE!</v>
      </c>
      <c r="X67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67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67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67" s="92" t="e" vm="380">
        <f>IFERROR(INDEX(ImgDatabase!$J:$J, MATCH(Character[[#This Row],[NameHelper]], ImgDatabase!$E:$E, 0)), "")</f>
        <v>#VALUE!</v>
      </c>
      <c r="AC67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67" s="63" t="e" vm="450">
        <f>IFERROR(INDEX(ImgDatabase!$M:$M, MATCH(Character[[#This Row],[NameHelper]], ImgDatabase!$E:$E, 0)), "")</f>
        <v>#VALUE!</v>
      </c>
      <c r="AF67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67" s="63" t="e" vm="117">
        <f>IFERROR(INDEX(ImgDatabase!$N:$N, MATCH(Character[[#This Row],[NameHelper]], ImgDatabase!$E:$E, 0)), "")</f>
        <v>#VALUE!</v>
      </c>
      <c r="AI67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67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67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67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67" s="64" t="e" vm="435">
        <f>IFERROR(INDEX(ImgDatabase!$L:$L, MATCH(Character[[#This Row],[NameHelper]], ImgDatabase!$E:$E, 0)), "")</f>
        <v>#VALUE!</v>
      </c>
      <c r="AO67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67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67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67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67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67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67" s="70">
        <f t="shared" ref="AU67:AU89" si="6">SUM(AO67,AR67)</f>
        <v>0</v>
      </c>
      <c r="AV67" s="71">
        <f t="shared" ref="AV67:AV89" si="7">SUM(AP67,AS67)</f>
        <v>0</v>
      </c>
      <c r="AW67" s="72">
        <f t="shared" ref="AW67:AW89" si="8">SUM(AQ67,AT67)</f>
        <v>0</v>
      </c>
      <c r="AY67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67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67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67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67" s="134">
        <f>SUM(Table40[[#This Row],[Ascension
Cost]:[Talent Cost
(Burst)]])</f>
        <v>0</v>
      </c>
      <c r="BE67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67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67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67" s="75">
        <f>SUM(Table53[[#This Row],[NA]:[Burst]])</f>
        <v>0</v>
      </c>
    </row>
    <row r="68" spans="1:60" ht="30" customHeight="1" x14ac:dyDescent="0.25">
      <c r="A68" s="76">
        <f>SUBTOTAL(3,$D$3:Character[[#This Row],[NameHelper]])</f>
        <v>66</v>
      </c>
      <c r="B68" s="77" t="e" vm="872">
        <f>IFERROR(INDEX(ImgDatabase!$D:$D, MATCH(Character[[#This Row],[NameHelper]], ImgDatabase!$E:$E, 0)), "")</f>
        <v>#VALUE!</v>
      </c>
      <c r="C68" s="78" t="s">
        <v>563</v>
      </c>
      <c r="D68" s="78" t="s">
        <v>563</v>
      </c>
      <c r="E68" s="53" t="e" vm="50">
        <f>IFERROR(INDEX(ImgDatabase!$G:$G, MATCH(Character[[#This Row],[NameHelper]], ImgDatabase!$E:$E, 0)), "")</f>
        <v>#VALUE!</v>
      </c>
      <c r="F68" s="53" t="e" vm="546">
        <f>IFERROR(INDEX(CharacterDetailsImg[Weapon Type], MATCH(Character[[#This Row],[NameHelper]], CharacterDetailsImg[Name], 0)), "")</f>
        <v>#VALUE!</v>
      </c>
      <c r="G68" s="79">
        <f>IFERROR(INDEX(CharacterDetailsImg[Released Version], MATCH(Character[[#This Row],[NameHelper]], CharacterDetailsImg[Name], 0)), "")</f>
        <v>2.2000000000000002</v>
      </c>
      <c r="H68" s="51">
        <v>21</v>
      </c>
      <c r="I68" s="41">
        <v>1</v>
      </c>
      <c r="J68" s="41">
        <v>1</v>
      </c>
      <c r="K68" s="52">
        <v>1</v>
      </c>
      <c r="M68" s="80">
        <v>81</v>
      </c>
      <c r="N68" s="80">
        <v>1</v>
      </c>
      <c r="O68" s="81">
        <v>9</v>
      </c>
      <c r="P68" s="82">
        <v>9</v>
      </c>
      <c r="R68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250</v>
      </c>
      <c r="T68" s="83" t="e" vm="473">
        <f>IF(Character[[#This Row],[Name]]="Traveler","",IFERROR(INDEX(ImgDatabase!$I:$I,MATCH(Character[[#This Row],[NameHelper]],ImgDatabase!$E:$E,0)),""))</f>
        <v>#VALUE!</v>
      </c>
      <c r="U68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68" s="85" t="e" vm="226">
        <f>IF(Character[[#This Row],[Name]]="Traveler","",IFERROR(INDEX(ImgDatabase!$K:$K, MATCH(Character[[#This Row],[NameHelper]], ImgDatabase!$E:$E, 0)), ""))</f>
        <v>#VALUE!</v>
      </c>
      <c r="X68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68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68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68" s="85" t="e" vm="579">
        <f>IFERROR(INDEX(ImgDatabase!$J:$J, MATCH(Character[[#This Row],[NameHelper]], ImgDatabase!$E:$E, 0)), "")</f>
        <v>#VALUE!</v>
      </c>
      <c r="AC68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68" s="83" t="e" vm="618">
        <f>IFERROR(INDEX(ImgDatabase!$M:$M, MATCH(Character[[#This Row],[NameHelper]], ImgDatabase!$E:$E, 0)), "")</f>
        <v>#VALUE!</v>
      </c>
      <c r="AF68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68" s="83" t="e" vm="56">
        <f>IFERROR(INDEX(ImgDatabase!$N:$N, MATCH(Character[[#This Row],[NameHelper]], ImgDatabase!$E:$E, 0)), "")</f>
        <v>#VALUE!</v>
      </c>
      <c r="AI68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68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68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68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68" s="53" t="e" vm="54">
        <f>IFERROR(INDEX(ImgDatabase!$L:$L, MATCH(Character[[#This Row],[NameHelper]], ImgDatabase!$E:$E, 0)), "")</f>
        <v>#VALUE!</v>
      </c>
      <c r="AO68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68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68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68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68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68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68" s="89">
        <f t="shared" si="6"/>
        <v>74</v>
      </c>
      <c r="AV68" s="90">
        <f t="shared" si="7"/>
        <v>74</v>
      </c>
      <c r="AW68" s="91">
        <f t="shared" si="8"/>
        <v>27</v>
      </c>
      <c r="AY68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1397530</v>
      </c>
      <c r="AZ68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68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68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68" s="131">
        <f>SUM(Table40[[#This Row],[Ascension
Cost]:[Talent Cost
(Burst)]])</f>
        <v>3302530</v>
      </c>
      <c r="BE68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68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68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68" s="75">
        <f>SUM(Table53[[#This Row],[NA]:[Burst]])</f>
        <v>0</v>
      </c>
    </row>
    <row r="69" spans="1:60" ht="30" customHeight="1" x14ac:dyDescent="0.25">
      <c r="A69" s="76">
        <f>SUBTOTAL(3,$D$3:Character[[#This Row],[NameHelper]])</f>
        <v>67</v>
      </c>
      <c r="B69" s="77" t="e" vm="873">
        <f>IFERROR(INDEX(ImgDatabase!$D:$D, MATCH(Character[[#This Row],[NameHelper]], ImgDatabase!$E:$E, 0)), "")</f>
        <v>#VALUE!</v>
      </c>
      <c r="C69" s="78" t="s">
        <v>439</v>
      </c>
      <c r="D69" s="78" t="s">
        <v>439</v>
      </c>
      <c r="E69" s="53" t="e" vm="28">
        <f>IFERROR(INDEX(ImgDatabase!$G:$G, MATCH(Character[[#This Row],[NameHelper]], ImgDatabase!$E:$E, 0)), "")</f>
        <v>#VALUE!</v>
      </c>
      <c r="F69" s="53" t="e" vm="348">
        <f>IFERROR(INDEX(CharacterDetailsImg[Weapon Type], MATCH(Character[[#This Row],[NameHelper]], CharacterDetailsImg[Name], 0)), "")</f>
        <v>#VALUE!</v>
      </c>
      <c r="G69" s="79">
        <f>IFERROR(INDEX(CharacterDetailsImg[Released Version], MATCH(Character[[#This Row],[NameHelper]], CharacterDetailsImg[Name], 0)), "")</f>
        <v>3</v>
      </c>
      <c r="H69" s="51">
        <v>22</v>
      </c>
      <c r="I69" s="41">
        <v>1</v>
      </c>
      <c r="J69" s="41">
        <v>1</v>
      </c>
      <c r="K69" s="52">
        <v>1</v>
      </c>
      <c r="M69" s="80">
        <v>81</v>
      </c>
      <c r="N69" s="80">
        <v>1</v>
      </c>
      <c r="O69" s="81">
        <v>9</v>
      </c>
      <c r="P69" s="82">
        <v>9</v>
      </c>
      <c r="R69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249</v>
      </c>
      <c r="T69" s="83" t="e" vm="370">
        <f>IF(Character[[#This Row],[Name]]="Traveler","",IFERROR(INDEX(ImgDatabase!$I:$I,MATCH(Character[[#This Row],[NameHelper]],ImgDatabase!$E:$E,0)),""))</f>
        <v>#VALUE!</v>
      </c>
      <c r="U69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69" s="85" t="e" vm="391">
        <f>IF(Character[[#This Row],[Name]]="Traveler","",IFERROR(INDEX(ImgDatabase!$K:$K, MATCH(Character[[#This Row],[NameHelper]], ImgDatabase!$E:$E, 0)), ""))</f>
        <v>#VALUE!</v>
      </c>
      <c r="X69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69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69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69" s="92" t="e" vm="456">
        <f>IFERROR(INDEX(ImgDatabase!$J:$J, MATCH(Character[[#This Row],[NameHelper]], ImgDatabase!$E:$E, 0)), "")</f>
        <v>#VALUE!</v>
      </c>
      <c r="AC69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69" s="63" t="e" vm="251">
        <f>IFERROR(INDEX(ImgDatabase!$M:$M, MATCH(Character[[#This Row],[NameHelper]], ImgDatabase!$E:$E, 0)), "")</f>
        <v>#VALUE!</v>
      </c>
      <c r="AF69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69" s="63" t="e" vm="34">
        <f>IFERROR(INDEX(ImgDatabase!$N:$N, MATCH(Character[[#This Row],[NameHelper]], ImgDatabase!$E:$E, 0)), "")</f>
        <v>#VALUE!</v>
      </c>
      <c r="AI69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69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69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69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69" s="64" t="e" vm="272">
        <f>IFERROR(INDEX(ImgDatabase!$L:$L, MATCH(Character[[#This Row],[NameHelper]], ImgDatabase!$E:$E, 0)), "")</f>
        <v>#VALUE!</v>
      </c>
      <c r="AO69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69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69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69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69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69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69" s="70">
        <f t="shared" si="6"/>
        <v>74</v>
      </c>
      <c r="AV69" s="71">
        <f t="shared" si="7"/>
        <v>74</v>
      </c>
      <c r="AW69" s="72">
        <f t="shared" si="8"/>
        <v>27</v>
      </c>
      <c r="AY69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1394170</v>
      </c>
      <c r="AZ69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69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69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69" s="134">
        <f>SUM(Table40[[#This Row],[Ascension
Cost]:[Talent Cost
(Burst)]])</f>
        <v>3299170</v>
      </c>
      <c r="BE69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69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69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69" s="75">
        <f>SUM(Table53[[#This Row],[NA]:[Burst]])</f>
        <v>0</v>
      </c>
    </row>
    <row r="70" spans="1:60" ht="30" customHeight="1" x14ac:dyDescent="0.25">
      <c r="A70" s="76">
        <f>SUBTOTAL(3,$D$3:Character[[#This Row],[NameHelper]])</f>
        <v>68</v>
      </c>
      <c r="B70" s="77" t="e" vm="874">
        <f>IFERROR(INDEX(ImgDatabase!$D:$D, MATCH(Character[[#This Row],[NameHelper]], ImgDatabase!$E:$E, 0)), "")</f>
        <v>#VALUE!</v>
      </c>
      <c r="C70" s="78" t="s">
        <v>702</v>
      </c>
      <c r="D70" s="78" t="s">
        <v>304</v>
      </c>
      <c r="E70" s="53" t="e" vm="28">
        <f>IFERROR(INDEX(ImgDatabase!$G:$G, MATCH(Character[[#This Row],[NameHelper]], ImgDatabase!$E:$E, 0)), "")</f>
        <v>#VALUE!</v>
      </c>
      <c r="F70" s="53" t="e" vm="5">
        <f>IFERROR(INDEX(CharacterDetailsImg[Weapon Type], MATCH(Character[[#This Row],[NameHelper]], CharacterDetailsImg[Name], 0)), "")</f>
        <v>#VALUE!</v>
      </c>
      <c r="G70" s="79">
        <f>IFERROR(INDEX(CharacterDetailsImg[Released Version], MATCH(Character[[#This Row],[NameHelper]], CharacterDetailsImg[Name], 0)), "")</f>
        <v>3</v>
      </c>
      <c r="H70" s="51">
        <v>81</v>
      </c>
      <c r="I70" s="41">
        <v>1</v>
      </c>
      <c r="J70" s="41">
        <v>1</v>
      </c>
      <c r="K70" s="52">
        <v>1</v>
      </c>
      <c r="M70" s="80">
        <v>81</v>
      </c>
      <c r="N70" s="80">
        <v>1</v>
      </c>
      <c r="O70" s="81">
        <v>9</v>
      </c>
      <c r="P70" s="82">
        <v>9</v>
      </c>
      <c r="R70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70" s="83" t="str">
        <f>IF(Character[[#This Row],[Name]]="Traveler","",IFERROR(INDEX(ImgDatabase!$I:$I,MATCH(Character[[#This Row],[NameHelper]],ImgDatabase!$E:$E,0)),""))</f>
        <v/>
      </c>
      <c r="U70" s="84" t="str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/>
      </c>
      <c r="W70" s="85" t="str">
        <f>IF(Character[[#This Row],[Name]]="Traveler","",IFERROR(INDEX(ImgDatabase!$K:$K, MATCH(Character[[#This Row],[NameHelper]], ImgDatabase!$E:$E, 0)), ""))</f>
        <v/>
      </c>
      <c r="X70" s="58" t="str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/>
      </c>
      <c r="Y70" s="58" t="str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/>
      </c>
      <c r="Z70" s="86" t="str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/>
      </c>
      <c r="AB70" s="85" t="e" vm="198">
        <f>IFERROR(INDEX(ImgDatabase!$J:$J, MATCH(Character[[#This Row],[NameHelper]], ImgDatabase!$E:$E, 0)), "")</f>
        <v>#VALUE!</v>
      </c>
      <c r="AC70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70" s="83" t="e" vm="55">
        <f>IFERROR(INDEX(ImgDatabase!$M:$M, MATCH(Character[[#This Row],[NameHelper]], ImgDatabase!$E:$E, 0)), "")</f>
        <v>#VALUE!</v>
      </c>
      <c r="AF70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70" s="83" t="e" vm="293">
        <f>IFERROR(INDEX(ImgDatabase!$N:$N, MATCH(Character[[#This Row],[NameHelper]], ImgDatabase!$E:$E, 0)), "")</f>
        <v>#VALUE!</v>
      </c>
      <c r="AI70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70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70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70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70" s="53" t="e" vm="272">
        <f>IFERROR(INDEX(ImgDatabase!$L:$L, MATCH(Character[[#This Row],[NameHelper]], ImgDatabase!$E:$E, 0)), "")</f>
        <v>#VALUE!</v>
      </c>
      <c r="AO70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70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70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70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70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70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70" s="89">
        <f t="shared" si="6"/>
        <v>38</v>
      </c>
      <c r="AV70" s="90">
        <f t="shared" si="7"/>
        <v>44</v>
      </c>
      <c r="AW70" s="91">
        <f t="shared" si="8"/>
        <v>12</v>
      </c>
      <c r="AY70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70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70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70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70" s="131">
        <f>SUM(Table40[[#This Row],[Ascension
Cost]:[Talent Cost
(Burst)]])</f>
        <v>1905000</v>
      </c>
      <c r="BE70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70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70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70" s="75">
        <f>SUM(Table53[[#This Row],[NA]:[Burst]])</f>
        <v>0</v>
      </c>
    </row>
    <row r="71" spans="1:60" ht="30" customHeight="1" x14ac:dyDescent="0.25">
      <c r="A71" s="76">
        <f>SUBTOTAL(3,$D$3:Character[[#This Row],[NameHelper]])</f>
        <v>69</v>
      </c>
      <c r="B71" s="77" t="e" vm="875">
        <f>IFERROR(INDEX(ImgDatabase!$D:$D, MATCH(Character[[#This Row],[NameHelper]], ImgDatabase!$E:$E, 0)), "")</f>
        <v>#VALUE!</v>
      </c>
      <c r="C71" s="78" t="s">
        <v>702</v>
      </c>
      <c r="D71" s="78" t="s">
        <v>295</v>
      </c>
      <c r="E71" s="53" t="e" vm="91">
        <f>IFERROR(INDEX(ImgDatabase!$G:$G, MATCH(Character[[#This Row],[NameHelper]], ImgDatabase!$E:$E, 0)), "")</f>
        <v>#VALUE!</v>
      </c>
      <c r="F71" s="53" t="e" vm="5">
        <f>IFERROR(INDEX(CharacterDetailsImg[Weapon Type], MATCH(Character[[#This Row],[NameHelper]], CharacterDetailsImg[Name], 0)), "")</f>
        <v>#VALUE!</v>
      </c>
      <c r="G71" s="79">
        <f>IFERROR(INDEX(CharacterDetailsImg[Released Version], MATCH(Character[[#This Row],[NameHelper]], CharacterDetailsImg[Name], 0)), "")</f>
        <v>2</v>
      </c>
      <c r="H71" s="51">
        <v>81</v>
      </c>
      <c r="I71" s="41">
        <v>1</v>
      </c>
      <c r="J71" s="41">
        <v>4</v>
      </c>
      <c r="K71" s="52">
        <v>4</v>
      </c>
      <c r="M71" s="80">
        <v>81</v>
      </c>
      <c r="N71" s="80">
        <v>1</v>
      </c>
      <c r="O71" s="81">
        <v>9</v>
      </c>
      <c r="P71" s="82">
        <v>9</v>
      </c>
      <c r="R71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71" s="83" t="str">
        <f>IF(Character[[#This Row],[Name]]="Traveler","",IFERROR(INDEX(ImgDatabase!$I:$I,MATCH(Character[[#This Row],[NameHelper]],ImgDatabase!$E:$E,0)),""))</f>
        <v/>
      </c>
      <c r="U71" s="66" t="str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/>
      </c>
      <c r="W71" s="85" t="str">
        <f>IF(Character[[#This Row],[Name]]="Traveler","",IFERROR(INDEX(ImgDatabase!$K:$K, MATCH(Character[[#This Row],[NameHelper]], ImgDatabase!$E:$E, 0)), ""))</f>
        <v/>
      </c>
      <c r="X71" s="68" t="str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/>
      </c>
      <c r="Y71" s="68" t="str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/>
      </c>
      <c r="Z71" s="69" t="str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/>
      </c>
      <c r="AB71" s="92" t="e" vm="311">
        <f>IFERROR(INDEX(ImgDatabase!$J:$J, MATCH(Character[[#This Row],[NameHelper]], ImgDatabase!$E:$E, 0)), "")</f>
        <v>#VALUE!</v>
      </c>
      <c r="AC71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71" s="63" t="e" vm="55">
        <f>IFERROR(INDEX(ImgDatabase!$M:$M, MATCH(Character[[#This Row],[NameHelper]], ImgDatabase!$E:$E, 0)), "")</f>
        <v>#VALUE!</v>
      </c>
      <c r="AF71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71" s="63" t="e" vm="293">
        <f>IFERROR(INDEX(ImgDatabase!$N:$N, MATCH(Character[[#This Row],[NameHelper]], ImgDatabase!$E:$E, 0)), "")</f>
        <v>#VALUE!</v>
      </c>
      <c r="AI71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71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71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71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71" s="64" t="e" vm="184">
        <f>IFERROR(INDEX(ImgDatabase!$L:$L, MATCH(Character[[#This Row],[NameHelper]], ImgDatabase!$E:$E, 0)), "")</f>
        <v>#VALUE!</v>
      </c>
      <c r="AO71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71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71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71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71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30</v>
      </c>
      <c r="AT71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71" s="70">
        <f t="shared" si="6"/>
        <v>38</v>
      </c>
      <c r="AV71" s="71">
        <f t="shared" si="7"/>
        <v>30</v>
      </c>
      <c r="AW71" s="72">
        <f t="shared" si="8"/>
        <v>0</v>
      </c>
      <c r="AY71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71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71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897500</v>
      </c>
      <c r="BB71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897500</v>
      </c>
      <c r="BC71" s="134">
        <f>SUM(Table40[[#This Row],[Ascension
Cost]:[Talent Cost
(Burst)]])</f>
        <v>1795000</v>
      </c>
      <c r="BE71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71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71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71" s="75">
        <f>SUM(Table53[[#This Row],[NA]:[Burst]])</f>
        <v>0</v>
      </c>
    </row>
    <row r="72" spans="1:60" ht="30" customHeight="1" x14ac:dyDescent="0.25">
      <c r="A72" s="76">
        <f>SUBTOTAL(3,$D$3:Character[[#This Row],[NameHelper]])</f>
        <v>70</v>
      </c>
      <c r="B72" s="77" t="e" vm="876">
        <f>IFERROR(INDEX(ImgDatabase!$D:$D, MATCH(Character[[#This Row],[NameHelper]], ImgDatabase!$E:$E, 0)), "")</f>
        <v>#VALUE!</v>
      </c>
      <c r="C72" s="78" t="s">
        <v>702</v>
      </c>
      <c r="D72" s="78" t="s">
        <v>286</v>
      </c>
      <c r="E72" s="53" t="e" vm="6">
        <f>IFERROR(INDEX(ImgDatabase!$G:$G, MATCH(Character[[#This Row],[NameHelper]], ImgDatabase!$E:$E, 0)), "")</f>
        <v>#VALUE!</v>
      </c>
      <c r="F72" s="53" t="e" vm="5">
        <f>IFERROR(INDEX(CharacterDetailsImg[Weapon Type], MATCH(Character[[#This Row],[NameHelper]], CharacterDetailsImg[Name], 0)), "")</f>
        <v>#VALUE!</v>
      </c>
      <c r="G72" s="79">
        <f>IFERROR(INDEX(CharacterDetailsImg[Released Version], MATCH(Character[[#This Row],[NameHelper]], CharacterDetailsImg[Name], 0)), "")</f>
        <v>1.1000000000000001</v>
      </c>
      <c r="H72" s="51">
        <v>81</v>
      </c>
      <c r="I72" s="41">
        <v>1</v>
      </c>
      <c r="J72" s="41">
        <v>1</v>
      </c>
      <c r="K72" s="52">
        <v>1</v>
      </c>
      <c r="M72" s="80">
        <v>81</v>
      </c>
      <c r="N72" s="80">
        <v>1</v>
      </c>
      <c r="O72" s="81">
        <v>9</v>
      </c>
      <c r="P72" s="82">
        <v>9</v>
      </c>
      <c r="R72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72" s="83" t="str">
        <f>IF(Character[[#This Row],[Name]]="Traveler","",IFERROR(INDEX(ImgDatabase!$I:$I,MATCH(Character[[#This Row],[NameHelper]],ImgDatabase!$E:$E,0)),""))</f>
        <v/>
      </c>
      <c r="U72" s="84" t="str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/>
      </c>
      <c r="W72" s="85" t="str">
        <f>IF(Character[[#This Row],[Name]]="Traveler","",IFERROR(INDEX(ImgDatabase!$K:$K, MATCH(Character[[#This Row],[NameHelper]], ImgDatabase!$E:$E, 0)), ""))</f>
        <v/>
      </c>
      <c r="X72" s="58" t="str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/>
      </c>
      <c r="Y72" s="58" t="str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/>
      </c>
      <c r="Z72" s="86" t="str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/>
      </c>
      <c r="AB72" s="85" t="e" vm="282">
        <f>IFERROR(INDEX(ImgDatabase!$J:$J, MATCH(Character[[#This Row],[NameHelper]], ImgDatabase!$E:$E, 0)), "")</f>
        <v>#VALUE!</v>
      </c>
      <c r="AC72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72" s="83" t="e" vm="55">
        <f>IFERROR(INDEX(ImgDatabase!$M:$M, MATCH(Character[[#This Row],[NameHelper]], ImgDatabase!$E:$E, 0)), "")</f>
        <v>#VALUE!</v>
      </c>
      <c r="AF72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72" s="83" t="e" vm="293">
        <f>IFERROR(INDEX(ImgDatabase!$N:$N, MATCH(Character[[#This Row],[NameHelper]], ImgDatabase!$E:$E, 0)), "")</f>
        <v>#VALUE!</v>
      </c>
      <c r="AI72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72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72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72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72" s="53" t="e" vm="302">
        <f>IFERROR(INDEX(ImgDatabase!$L:$L, MATCH(Character[[#This Row],[NameHelper]], ImgDatabase!$E:$E, 0)), "")</f>
        <v>#VALUE!</v>
      </c>
      <c r="AO72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72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72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72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72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72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72" s="89">
        <f t="shared" si="6"/>
        <v>38</v>
      </c>
      <c r="AV72" s="90">
        <f t="shared" si="7"/>
        <v>44</v>
      </c>
      <c r="AW72" s="91">
        <f t="shared" si="8"/>
        <v>12</v>
      </c>
      <c r="AY72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72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72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72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72" s="131">
        <f>SUM(Table40[[#This Row],[Ascension
Cost]:[Talent Cost
(Burst)]])</f>
        <v>1905000</v>
      </c>
      <c r="BE72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72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72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72" s="75">
        <f>SUM(Table53[[#This Row],[NA]:[Burst]])</f>
        <v>0</v>
      </c>
    </row>
    <row r="73" spans="1:60" ht="30" customHeight="1" x14ac:dyDescent="0.25">
      <c r="A73" s="76">
        <f>SUBTOTAL(3,$D$3:Character[[#This Row],[NameHelper]])</f>
        <v>71</v>
      </c>
      <c r="B73" s="77" t="e" vm="877">
        <f>IFERROR(INDEX(ImgDatabase!$D:$D, MATCH(Character[[#This Row],[NameHelper]], ImgDatabase!$E:$E, 0)), "")</f>
        <v>#VALUE!</v>
      </c>
      <c r="C73" s="78" t="s">
        <v>702</v>
      </c>
      <c r="D73" s="78" t="s">
        <v>315</v>
      </c>
      <c r="E73" s="53" t="e" vm="112">
        <f>IFERROR(INDEX(ImgDatabase!$G:$G, MATCH(Character[[#This Row],[NameHelper]], ImgDatabase!$E:$E, 0)), "")</f>
        <v>#VALUE!</v>
      </c>
      <c r="F73" s="53" t="e" vm="5">
        <f>IFERROR(INDEX(CharacterDetailsImg[Weapon Type], MATCH(Character[[#This Row],[NameHelper]], CharacterDetailsImg[Name], 0)), "")</f>
        <v>#VALUE!</v>
      </c>
      <c r="G73" s="79">
        <f>IFERROR(INDEX(CharacterDetailsImg[Released Version], MATCH(Character[[#This Row],[NameHelper]], CharacterDetailsImg[Name], 0)), "")</f>
        <v>4</v>
      </c>
      <c r="H73" s="51">
        <v>81</v>
      </c>
      <c r="I73" s="41">
        <v>1</v>
      </c>
      <c r="J73" s="41">
        <v>1</v>
      </c>
      <c r="K73" s="52">
        <v>1</v>
      </c>
      <c r="M73" s="80">
        <v>81</v>
      </c>
      <c r="N73" s="80">
        <v>1</v>
      </c>
      <c r="O73" s="81">
        <v>9</v>
      </c>
      <c r="P73" s="82">
        <v>9</v>
      </c>
      <c r="R73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73" s="83" t="str">
        <f>IF(Character[[#This Row],[Name]]="Traveler","",IFERROR(INDEX(ImgDatabase!$I:$I,MATCH(Character[[#This Row],[NameHelper]],ImgDatabase!$E:$E,0)),""))</f>
        <v/>
      </c>
      <c r="U73" s="66" t="str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/>
      </c>
      <c r="W73" s="85" t="str">
        <f>IF(Character[[#This Row],[Name]]="Traveler","",IFERROR(INDEX(ImgDatabase!$K:$K, MATCH(Character[[#This Row],[NameHelper]], ImgDatabase!$E:$E, 0)), ""))</f>
        <v/>
      </c>
      <c r="X73" s="68" t="str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/>
      </c>
      <c r="Y73" s="68" t="str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/>
      </c>
      <c r="Z73" s="69" t="str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/>
      </c>
      <c r="AB73" s="92" t="e" vm="328">
        <f>IFERROR(INDEX(ImgDatabase!$J:$J, MATCH(Character[[#This Row],[NameHelper]], ImgDatabase!$E:$E, 0)), "")</f>
        <v>#VALUE!</v>
      </c>
      <c r="AC73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73" s="63" t="e" vm="55">
        <f>IFERROR(INDEX(ImgDatabase!$M:$M, MATCH(Character[[#This Row],[NameHelper]], ImgDatabase!$E:$E, 0)), "")</f>
        <v>#VALUE!</v>
      </c>
      <c r="AF73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73" s="63" t="e" vm="293">
        <f>IFERROR(INDEX(ImgDatabase!$N:$N, MATCH(Character[[#This Row],[NameHelper]], ImgDatabase!$E:$E, 0)), "")</f>
        <v>#VALUE!</v>
      </c>
      <c r="AI73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73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73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73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73" s="64" t="e" vm="95">
        <f>IFERROR(INDEX(ImgDatabase!$L:$L, MATCH(Character[[#This Row],[NameHelper]], ImgDatabase!$E:$E, 0)), "")</f>
        <v>#VALUE!</v>
      </c>
      <c r="AO73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73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73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73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73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73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73" s="70">
        <f t="shared" si="6"/>
        <v>38</v>
      </c>
      <c r="AV73" s="71">
        <f t="shared" si="7"/>
        <v>44</v>
      </c>
      <c r="AW73" s="72">
        <f t="shared" si="8"/>
        <v>12</v>
      </c>
      <c r="AY73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73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73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73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73" s="134">
        <f>SUM(Table40[[#This Row],[Ascension
Cost]:[Talent Cost
(Burst)]])</f>
        <v>1905000</v>
      </c>
      <c r="BE73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73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73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73" s="75">
        <f>SUM(Table53[[#This Row],[NA]:[Burst]])</f>
        <v>0</v>
      </c>
    </row>
    <row r="74" spans="1:60" ht="30" customHeight="1" x14ac:dyDescent="0.25">
      <c r="A74" s="76">
        <f>SUBTOTAL(3,$D$3:Character[[#This Row],[NameHelper]])</f>
        <v>72</v>
      </c>
      <c r="B74" s="77" t="e" vm="878">
        <f>IFERROR(INDEX(ImgDatabase!$D:$D, MATCH(Character[[#This Row],[NameHelper]], ImgDatabase!$E:$E, 0)), "")</f>
        <v>#VALUE!</v>
      </c>
      <c r="C74" s="78" t="s">
        <v>702</v>
      </c>
      <c r="D74" s="78" t="s">
        <v>276</v>
      </c>
      <c r="E74" s="53" t="e" vm="131">
        <f>IFERROR(INDEX(ImgDatabase!$G:$G, MATCH(Character[[#This Row],[NameHelper]], ImgDatabase!$E:$E, 0)), "")</f>
        <v>#VALUE!</v>
      </c>
      <c r="F74" s="53" t="e" vm="5">
        <f>IFERROR(INDEX(CharacterDetailsImg[Weapon Type], MATCH(Character[[#This Row],[NameHelper]], CharacterDetailsImg[Name], 0)), "")</f>
        <v>#VALUE!</v>
      </c>
      <c r="G74" s="79">
        <f>IFERROR(INDEX(CharacterDetailsImg[Released Version], MATCH(Character[[#This Row],[NameHelper]], CharacterDetailsImg[Name], 0)), "")</f>
        <v>1</v>
      </c>
      <c r="H74" s="51">
        <v>81</v>
      </c>
      <c r="I74" s="41">
        <v>1</v>
      </c>
      <c r="J74" s="41">
        <v>1</v>
      </c>
      <c r="K74" s="52">
        <v>1</v>
      </c>
      <c r="M74" s="80">
        <v>81</v>
      </c>
      <c r="N74" s="80">
        <v>1</v>
      </c>
      <c r="O74" s="81">
        <v>9</v>
      </c>
      <c r="P74" s="82">
        <v>9</v>
      </c>
      <c r="R74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74" s="83" t="str">
        <f>IF(Character[[#This Row],[Name]]="Traveler","",IFERROR(INDEX(ImgDatabase!$I:$I,MATCH(Character[[#This Row],[NameHelper]],ImgDatabase!$E:$E,0)),""))</f>
        <v/>
      </c>
      <c r="U74" s="84" t="str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/>
      </c>
      <c r="W74" s="85" t="str">
        <f>IF(Character[[#This Row],[Name]]="Traveler","",IFERROR(INDEX(ImgDatabase!$K:$K, MATCH(Character[[#This Row],[NameHelper]], ImgDatabase!$E:$E, 0)), ""))</f>
        <v/>
      </c>
      <c r="X74" s="58" t="str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/>
      </c>
      <c r="Y74" s="58" t="str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/>
      </c>
      <c r="Z74" s="86" t="str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/>
      </c>
      <c r="AB74" s="85" t="e" vm="292">
        <f>IFERROR(INDEX(ImgDatabase!$J:$J, MATCH(Character[[#This Row],[NameHelper]], ImgDatabase!$E:$E, 0)), "")</f>
        <v>#VALUE!</v>
      </c>
      <c r="AC74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74" s="83" t="e" vm="55">
        <f>IFERROR(INDEX(ImgDatabase!$M:$M, MATCH(Character[[#This Row],[NameHelper]], ImgDatabase!$E:$E, 0)), "")</f>
        <v>#VALUE!</v>
      </c>
      <c r="AF74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74" s="83" t="e" vm="293">
        <f>IFERROR(INDEX(ImgDatabase!$N:$N, MATCH(Character[[#This Row],[NameHelper]], ImgDatabase!$E:$E, 0)), "")</f>
        <v>#VALUE!</v>
      </c>
      <c r="AI74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74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74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74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74" s="53" t="e" vm="10">
        <f>IFERROR(INDEX(ImgDatabase!$L:$L, MATCH(Character[[#This Row],[NameHelper]], ImgDatabase!$E:$E, 0)), "")</f>
        <v>#VALUE!</v>
      </c>
      <c r="AO74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74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74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74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74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74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74" s="89">
        <f t="shared" si="6"/>
        <v>38</v>
      </c>
      <c r="AV74" s="90">
        <f t="shared" si="7"/>
        <v>44</v>
      </c>
      <c r="AW74" s="91">
        <f t="shared" si="8"/>
        <v>12</v>
      </c>
      <c r="AY74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74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74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74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74" s="131">
        <f>SUM(Table40[[#This Row],[Ascension
Cost]:[Talent Cost
(Burst)]])</f>
        <v>1905000</v>
      </c>
      <c r="BE74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74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74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74" s="75">
        <f>SUM(Table53[[#This Row],[NA]:[Burst]])</f>
        <v>0</v>
      </c>
    </row>
    <row r="75" spans="1:60" ht="30" customHeight="1" x14ac:dyDescent="0.25">
      <c r="A75" s="76">
        <f>SUBTOTAL(3,$D$3:Character[[#This Row],[NameHelper]])</f>
        <v>73</v>
      </c>
      <c r="B75" s="77" t="e" vm="879">
        <f>IFERROR(INDEX(ImgDatabase!$D:$D, MATCH(Character[[#This Row],[NameHelper]], ImgDatabase!$E:$E, 0)), "")</f>
        <v>#VALUE!</v>
      </c>
      <c r="C75" s="78" t="s">
        <v>444</v>
      </c>
      <c r="D75" s="78" t="s">
        <v>444</v>
      </c>
      <c r="E75" s="53" t="e" vm="131">
        <f>IFERROR(INDEX(ImgDatabase!$G:$G, MATCH(Character[[#This Row],[NameHelper]], ImgDatabase!$E:$E, 0)), "")</f>
        <v>#VALUE!</v>
      </c>
      <c r="F75" s="53" t="e" vm="348">
        <f>IFERROR(INDEX(CharacterDetailsImg[Weapon Type], MATCH(Character[[#This Row],[NameHelper]], CharacterDetailsImg[Name], 0)), "")</f>
        <v>#VALUE!</v>
      </c>
      <c r="G75" s="79">
        <f>IFERROR(INDEX(CharacterDetailsImg[Released Version], MATCH(Character[[#This Row],[NameHelper]], CharacterDetailsImg[Name], 0)), "")</f>
        <v>1</v>
      </c>
      <c r="H75" s="51">
        <v>90</v>
      </c>
      <c r="I75" s="41">
        <v>1</v>
      </c>
      <c r="J75" s="41">
        <v>9</v>
      </c>
      <c r="K75" s="52">
        <v>9</v>
      </c>
      <c r="M75" s="80">
        <v>81</v>
      </c>
      <c r="N75" s="80">
        <v>1</v>
      </c>
      <c r="O75" s="81">
        <v>9</v>
      </c>
      <c r="P75" s="82">
        <v>9</v>
      </c>
      <c r="R75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75" s="83" t="e" vm="132">
        <f>IF(Character[[#This Row],[Name]]="Traveler","",IFERROR(INDEX(ImgDatabase!$I:$I,MATCH(Character[[#This Row],[NameHelper]],ImgDatabase!$E:$E,0)),""))</f>
        <v>#VALUE!</v>
      </c>
      <c r="U75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75" s="85" t="e" vm="9">
        <f>IF(Character[[#This Row],[Name]]="Traveler","",IFERROR(INDEX(ImgDatabase!$K:$K, MATCH(Character[[#This Row],[NameHelper]], ImgDatabase!$E:$E, 0)), ""))</f>
        <v>#VALUE!</v>
      </c>
      <c r="X75" s="6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75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75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75" s="92" t="e" vm="282">
        <f>IFERROR(INDEX(ImgDatabase!$J:$J, MATCH(Character[[#This Row],[NameHelper]], ImgDatabase!$E:$E, 0)), "")</f>
        <v>#VALUE!</v>
      </c>
      <c r="AC75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75" s="63" t="e" vm="11">
        <f>IFERROR(INDEX(ImgDatabase!$M:$M, MATCH(Character[[#This Row],[NameHelper]], ImgDatabase!$E:$E, 0)), "")</f>
        <v>#VALUE!</v>
      </c>
      <c r="AF75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75" s="63" t="e" vm="135">
        <f>IFERROR(INDEX(ImgDatabase!$N:$N, MATCH(Character[[#This Row],[NameHelper]], ImgDatabase!$E:$E, 0)), "")</f>
        <v>#VALUE!</v>
      </c>
      <c r="AI75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75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75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75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75" s="64" t="e" vm="462">
        <f>IFERROR(INDEX(ImgDatabase!$L:$L, MATCH(Character[[#This Row],[NameHelper]], ImgDatabase!$E:$E, 0)), "")</f>
        <v>#VALUE!</v>
      </c>
      <c r="AO75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75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75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75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75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75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75" s="70">
        <f t="shared" si="6"/>
        <v>0</v>
      </c>
      <c r="AV75" s="71">
        <f t="shared" si="7"/>
        <v>0</v>
      </c>
      <c r="AW75" s="72">
        <f t="shared" si="8"/>
        <v>0</v>
      </c>
      <c r="AY75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75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75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75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75" s="134">
        <f>SUM(Table40[[#This Row],[Ascension
Cost]:[Talent Cost
(Burst)]])</f>
        <v>0</v>
      </c>
      <c r="BE75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75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75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75" s="75">
        <f>SUM(Table53[[#This Row],[NA]:[Burst]])</f>
        <v>0</v>
      </c>
    </row>
    <row r="76" spans="1:60" ht="30" customHeight="1" x14ac:dyDescent="0.25">
      <c r="A76" s="76">
        <f>SUBTOTAL(3,$D$3:Character[[#This Row],[NameHelper]])</f>
        <v>74</v>
      </c>
      <c r="B76" s="77" t="e" vm="880">
        <f>IFERROR(INDEX(ImgDatabase!$D:$D, MATCH(Character[[#This Row],[NameHelper]], ImgDatabase!$E:$E, 0)), "")</f>
        <v>#VALUE!</v>
      </c>
      <c r="C76" s="78" t="s">
        <v>537</v>
      </c>
      <c r="D76" s="78" t="s">
        <v>537</v>
      </c>
      <c r="E76" s="53" t="e" vm="131">
        <f>IFERROR(INDEX(ImgDatabase!$G:$G, MATCH(Character[[#This Row],[NameHelper]], ImgDatabase!$E:$E, 0)), "")</f>
        <v>#VALUE!</v>
      </c>
      <c r="F76" s="53" t="e" vm="552">
        <f>IFERROR(INDEX(CharacterDetailsImg[Weapon Type], MATCH(Character[[#This Row],[NameHelper]], CharacterDetailsImg[Name], 0)), "")</f>
        <v>#VALUE!</v>
      </c>
      <c r="G76" s="79">
        <f>IFERROR(INDEX(CharacterDetailsImg[Released Version], MATCH(Character[[#This Row],[NameHelper]], CharacterDetailsImg[Name], 0)), "")</f>
        <v>3.3</v>
      </c>
      <c r="H76" s="51">
        <v>90</v>
      </c>
      <c r="I76" s="41">
        <v>10</v>
      </c>
      <c r="J76" s="41">
        <v>10</v>
      </c>
      <c r="K76" s="52">
        <v>10</v>
      </c>
      <c r="M76" s="80">
        <v>81</v>
      </c>
      <c r="N76" s="80">
        <v>1</v>
      </c>
      <c r="O76" s="81">
        <v>9</v>
      </c>
      <c r="P76" s="82">
        <v>9</v>
      </c>
      <c r="R76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76" s="83" t="e" vm="250">
        <f>IF(Character[[#This Row],[Name]]="Traveler","",IFERROR(INDEX(ImgDatabase!$I:$I,MATCH(Character[[#This Row],[NameHelper]],ImgDatabase!$E:$E,0)),""))</f>
        <v>#VALUE!</v>
      </c>
      <c r="U76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76" s="85" t="e" vm="271">
        <f>IF(Character[[#This Row],[Name]]="Traveler","",IFERROR(INDEX(ImgDatabase!$K:$K, MATCH(Character[[#This Row],[NameHelper]], ImgDatabase!$E:$E, 0)), ""))</f>
        <v>#VALUE!</v>
      </c>
      <c r="X76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76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76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76" s="85" t="e" vm="443">
        <f>IFERROR(INDEX(ImgDatabase!$J:$J, MATCH(Character[[#This Row],[NameHelper]], ImgDatabase!$E:$E, 0)), "")</f>
        <v>#VALUE!</v>
      </c>
      <c r="AC76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76" s="83" t="e" vm="371">
        <f>IFERROR(INDEX(ImgDatabase!$M:$M, MATCH(Character[[#This Row],[NameHelper]], ImgDatabase!$E:$E, 0)), "")</f>
        <v>#VALUE!</v>
      </c>
      <c r="AF76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76" s="83" t="e" vm="135">
        <f>IFERROR(INDEX(ImgDatabase!$N:$N, MATCH(Character[[#This Row],[NameHelper]], ImgDatabase!$E:$E, 0)), "")</f>
        <v>#VALUE!</v>
      </c>
      <c r="AI76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76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76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76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76" s="53" t="e" vm="184">
        <f>IFERROR(INDEX(ImgDatabase!$L:$L, MATCH(Character[[#This Row],[NameHelper]], ImgDatabase!$E:$E, 0)), "")</f>
        <v>#VALUE!</v>
      </c>
      <c r="AO76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76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76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76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76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76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76" s="89">
        <f t="shared" si="6"/>
        <v>0</v>
      </c>
      <c r="AV76" s="90">
        <f t="shared" si="7"/>
        <v>0</v>
      </c>
      <c r="AW76" s="91">
        <f t="shared" si="8"/>
        <v>0</v>
      </c>
      <c r="AY76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76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76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76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76" s="131">
        <f>SUM(Table40[[#This Row],[Ascension
Cost]:[Talent Cost
(Burst)]])</f>
        <v>0</v>
      </c>
      <c r="BE76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76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76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76" s="75">
        <f>SUM(Table53[[#This Row],[NA]:[Burst]])</f>
        <v>0</v>
      </c>
    </row>
    <row r="77" spans="1:60" ht="30" customHeight="1" x14ac:dyDescent="0.25">
      <c r="A77" s="76">
        <f>SUBTOTAL(3,$D$3:Character[[#This Row],[NameHelper]])</f>
        <v>75</v>
      </c>
      <c r="B77" s="77" t="e" vm="881">
        <f>IFERROR(INDEX(ImgDatabase!$D:$D, MATCH(Character[[#This Row],[NameHelper]], ImgDatabase!$E:$E, 0)), "")</f>
        <v>#VALUE!</v>
      </c>
      <c r="C77" s="78" t="s">
        <v>539</v>
      </c>
      <c r="D77" s="78" t="s">
        <v>539</v>
      </c>
      <c r="E77" s="53" t="e" vm="165">
        <f>IFERROR(INDEX(ImgDatabase!$G:$G, MATCH(Character[[#This Row],[NameHelper]], ImgDatabase!$E:$E, 0)), "")</f>
        <v>#VALUE!</v>
      </c>
      <c r="F77" s="53" t="e" vm="552">
        <f>IFERROR(INDEX(CharacterDetailsImg[Weapon Type], MATCH(Character[[#This Row],[NameHelper]], CharacterDetailsImg[Name], 0)), "")</f>
        <v>#VALUE!</v>
      </c>
      <c r="G77" s="79">
        <f>IFERROR(INDEX(CharacterDetailsImg[Released Version], MATCH(Character[[#This Row],[NameHelper]], CharacterDetailsImg[Name], 0)), "")</f>
        <v>4.0999999999999996</v>
      </c>
      <c r="H77" s="51">
        <v>0</v>
      </c>
      <c r="I77" s="41">
        <v>0</v>
      </c>
      <c r="J77" s="41">
        <v>0</v>
      </c>
      <c r="K77" s="52">
        <v>0</v>
      </c>
      <c r="M77" s="80">
        <v>81</v>
      </c>
      <c r="N77" s="80">
        <v>1</v>
      </c>
      <c r="O77" s="81">
        <v>9</v>
      </c>
      <c r="P77" s="82">
        <v>9</v>
      </c>
      <c r="R77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77" s="83" t="e" vm="560">
        <f>IF(Character[[#This Row],[Name]]="Traveler","",IFERROR(INDEX(ImgDatabase!$I:$I,MATCH(Character[[#This Row],[NameHelper]],ImgDatabase!$E:$E,0)),""))</f>
        <v>#VALUE!</v>
      </c>
      <c r="U77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77" s="85" t="e" vm="260">
        <f>IF(Character[[#This Row],[Name]]="Traveler","",IFERROR(INDEX(ImgDatabase!$K:$K, MATCH(Character[[#This Row],[NameHelper]], ImgDatabase!$E:$E, 0)), ""))</f>
        <v>#VALUE!</v>
      </c>
      <c r="X77" s="6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77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77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77" s="92" t="e" vm="433">
        <f>IFERROR(INDEX(ImgDatabase!$J:$J, MATCH(Character[[#This Row],[NameHelper]], ImgDatabase!$E:$E, 0)), "")</f>
        <v>#VALUE!</v>
      </c>
      <c r="AC77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77" s="63" t="e" vm="588">
        <f>IFERROR(INDEX(ImgDatabase!$M:$M, MATCH(Character[[#This Row],[NameHelper]], ImgDatabase!$E:$E, 0)), "")</f>
        <v>#VALUE!</v>
      </c>
      <c r="AF77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77" s="63" t="e" vm="169">
        <f>IFERROR(INDEX(ImgDatabase!$N:$N, MATCH(Character[[#This Row],[NameHelper]], ImgDatabase!$E:$E, 0)), "")</f>
        <v>#VALUE!</v>
      </c>
      <c r="AI77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77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77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77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77" s="64" t="e" vm="261">
        <f>IFERROR(INDEX(ImgDatabase!$L:$L, MATCH(Character[[#This Row],[NameHelper]], ImgDatabase!$E:$E, 0)), "")</f>
        <v>#VALUE!</v>
      </c>
      <c r="AO77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77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77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77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77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77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77" s="70">
        <f t="shared" si="6"/>
        <v>0</v>
      </c>
      <c r="AV77" s="71">
        <f t="shared" si="7"/>
        <v>0</v>
      </c>
      <c r="AW77" s="72">
        <f t="shared" si="8"/>
        <v>0</v>
      </c>
      <c r="AY77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77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77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77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77" s="134">
        <f>SUM(Table40[[#This Row],[Ascension
Cost]:[Talent Cost
(Burst)]])</f>
        <v>0</v>
      </c>
      <c r="BE77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77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77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77" s="75">
        <f>SUM(Table53[[#This Row],[NA]:[Burst]])</f>
        <v>0</v>
      </c>
    </row>
    <row r="78" spans="1:60" ht="30" customHeight="1" x14ac:dyDescent="0.25">
      <c r="A78" s="76">
        <f>SUBTOTAL(3,$D$3:Character[[#This Row],[NameHelper]])</f>
        <v>76</v>
      </c>
      <c r="B78" s="77" t="e" vm="882">
        <f>IFERROR(INDEX(ImgDatabase!$D:$D, MATCH(Character[[#This Row],[NameHelper]], ImgDatabase!$E:$E, 0)), "")</f>
        <v>#VALUE!</v>
      </c>
      <c r="C78" s="78" t="s">
        <v>565</v>
      </c>
      <c r="D78" s="78" t="s">
        <v>565</v>
      </c>
      <c r="E78" s="53" t="e" vm="50">
        <f>IFERROR(INDEX(ImgDatabase!$G:$G, MATCH(Character[[#This Row],[NameHelper]], ImgDatabase!$E:$E, 0)), "")</f>
        <v>#VALUE!</v>
      </c>
      <c r="F78" s="53" t="e" vm="546">
        <f>IFERROR(INDEX(CharacterDetailsImg[Weapon Type], MATCH(Character[[#This Row],[NameHelper]], CharacterDetailsImg[Name], 0)), "")</f>
        <v>#VALUE!</v>
      </c>
      <c r="G78" s="79">
        <f>IFERROR(INDEX(CharacterDetailsImg[Released Version], MATCH(Character[[#This Row],[NameHelper]], CharacterDetailsImg[Name], 0)), "")</f>
        <v>1</v>
      </c>
      <c r="H78" s="51">
        <v>90</v>
      </c>
      <c r="I78" s="41">
        <v>1</v>
      </c>
      <c r="J78" s="41">
        <v>9</v>
      </c>
      <c r="K78" s="52">
        <v>9</v>
      </c>
      <c r="M78" s="80">
        <v>81</v>
      </c>
      <c r="N78" s="80">
        <v>1</v>
      </c>
      <c r="O78" s="81">
        <v>9</v>
      </c>
      <c r="P78" s="82">
        <v>9</v>
      </c>
      <c r="R78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78" s="83" t="e" vm="51">
        <f>IF(Character[[#This Row],[Name]]="Traveler","",IFERROR(INDEX(ImgDatabase!$I:$I,MATCH(Character[[#This Row],[NameHelper]],ImgDatabase!$E:$E,0)),""))</f>
        <v>#VALUE!</v>
      </c>
      <c r="U78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78" s="85" t="e" vm="151">
        <f>IF(Character[[#This Row],[Name]]="Traveler","",IFERROR(INDEX(ImgDatabase!$K:$K, MATCH(Character[[#This Row],[NameHelper]], ImgDatabase!$E:$E, 0)), ""))</f>
        <v>#VALUE!</v>
      </c>
      <c r="X78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78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78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78" s="85" t="e" vm="531">
        <f>IFERROR(INDEX(ImgDatabase!$J:$J, MATCH(Character[[#This Row],[NameHelper]], ImgDatabase!$E:$E, 0)), "")</f>
        <v>#VALUE!</v>
      </c>
      <c r="AC78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78" s="83" t="e" vm="621">
        <f>IFERROR(INDEX(ImgDatabase!$M:$M, MATCH(Character[[#This Row],[NameHelper]], ImgDatabase!$E:$E, 0)), "")</f>
        <v>#VALUE!</v>
      </c>
      <c r="AF78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78" s="83" t="e" vm="56">
        <f>IFERROR(INDEX(ImgDatabase!$N:$N, MATCH(Character[[#This Row],[NameHelper]], ImgDatabase!$E:$E, 0)), "")</f>
        <v>#VALUE!</v>
      </c>
      <c r="AI78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78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78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78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78" s="53" t="e" vm="462">
        <f>IFERROR(INDEX(ImgDatabase!$L:$L, MATCH(Character[[#This Row],[NameHelper]], ImgDatabase!$E:$E, 0)), "")</f>
        <v>#VALUE!</v>
      </c>
      <c r="AO78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78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78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78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78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78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78" s="89">
        <f t="shared" si="6"/>
        <v>0</v>
      </c>
      <c r="AV78" s="90">
        <f t="shared" si="7"/>
        <v>0</v>
      </c>
      <c r="AW78" s="91">
        <f t="shared" si="8"/>
        <v>0</v>
      </c>
      <c r="AY78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78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78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78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78" s="131">
        <f>SUM(Table40[[#This Row],[Ascension
Cost]:[Talent Cost
(Burst)]])</f>
        <v>0</v>
      </c>
      <c r="BE78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78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78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78" s="75">
        <f>SUM(Table53[[#This Row],[NA]:[Burst]])</f>
        <v>0</v>
      </c>
    </row>
    <row r="79" spans="1:60" ht="30" customHeight="1" x14ac:dyDescent="0.25">
      <c r="A79" s="76">
        <f>SUBTOTAL(3,$D$3:Character[[#This Row],[NameHelper]])</f>
        <v>77</v>
      </c>
      <c r="B79" s="77" t="e" vm="883">
        <f>IFERROR(INDEX(ImgDatabase!$D:$D, MATCH(Character[[#This Row],[NameHelper]], ImgDatabase!$E:$E, 0)), "")</f>
        <v>#VALUE!</v>
      </c>
      <c r="C79" s="78" t="s">
        <v>541</v>
      </c>
      <c r="D79" s="78" t="s">
        <v>541</v>
      </c>
      <c r="E79" s="53" t="e" vm="131">
        <f>IFERROR(INDEX(ImgDatabase!$G:$G, MATCH(Character[[#This Row],[NameHelper]], ImgDatabase!$E:$E, 0)), "")</f>
        <v>#VALUE!</v>
      </c>
      <c r="F79" s="53" t="e" vm="552">
        <f>IFERROR(INDEX(CharacterDetailsImg[Weapon Type], MATCH(Character[[#This Row],[NameHelper]], CharacterDetailsImg[Name], 0)), "")</f>
        <v>#VALUE!</v>
      </c>
      <c r="G79" s="79">
        <f>IFERROR(INDEX(CharacterDetailsImg[Released Version], MATCH(Character[[#This Row],[NameHelper]], CharacterDetailsImg[Name], 0)), "")</f>
        <v>4.4000000000000004</v>
      </c>
      <c r="H79" s="51">
        <v>80</v>
      </c>
      <c r="I79" s="41">
        <v>1</v>
      </c>
      <c r="J79" s="41">
        <v>1</v>
      </c>
      <c r="K79" s="52">
        <v>1</v>
      </c>
      <c r="M79" s="80">
        <v>81</v>
      </c>
      <c r="N79" s="80">
        <v>1</v>
      </c>
      <c r="O79" s="81">
        <v>9</v>
      </c>
      <c r="P79" s="82">
        <v>9</v>
      </c>
      <c r="R79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10</v>
      </c>
      <c r="T79" s="83" t="e" vm="442">
        <f>IF(Character[[#This Row],[Name]]="Traveler","",IFERROR(INDEX(ImgDatabase!$I:$I,MATCH(Character[[#This Row],[NameHelper]],ImgDatabase!$E:$E,0)),""))</f>
        <v>#VALUE!</v>
      </c>
      <c r="U79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20</v>
      </c>
      <c r="W79" s="85" t="e" vm="338">
        <f>IF(Character[[#This Row],[Name]]="Traveler","",IFERROR(INDEX(ImgDatabase!$K:$K, MATCH(Character[[#This Row],[NameHelper]], ImgDatabase!$E:$E, 0)), ""))</f>
        <v>#VALUE!</v>
      </c>
      <c r="X79" s="6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79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79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79" s="92" t="e" vm="591">
        <f>IFERROR(INDEX(ImgDatabase!$J:$J, MATCH(Character[[#This Row],[NameHelper]], ImgDatabase!$E:$E, 0)), "")</f>
        <v>#VALUE!</v>
      </c>
      <c r="AC79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79" s="63" t="e" vm="592">
        <f>IFERROR(INDEX(ImgDatabase!$M:$M, MATCH(Character[[#This Row],[NameHelper]], ImgDatabase!$E:$E, 0)), "")</f>
        <v>#VALUE!</v>
      </c>
      <c r="AF79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60</v>
      </c>
      <c r="AH79" s="63" t="e" vm="135">
        <f>IFERROR(INDEX(ImgDatabase!$N:$N, MATCH(Character[[#This Row],[NameHelper]], ImgDatabase!$E:$E, 0)), "")</f>
        <v>#VALUE!</v>
      </c>
      <c r="AI79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79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79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79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79" s="64" t="e" vm="10">
        <f>IFERROR(INDEX(ImgDatabase!$L:$L, MATCH(Character[[#This Row],[NameHelper]], ImgDatabase!$E:$E, 0)), "")</f>
        <v>#VALUE!</v>
      </c>
      <c r="AO79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24</v>
      </c>
      <c r="AP79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79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79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79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79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79" s="70">
        <f t="shared" si="6"/>
        <v>62</v>
      </c>
      <c r="AV79" s="71">
        <f t="shared" si="7"/>
        <v>44</v>
      </c>
      <c r="AW79" s="72">
        <f t="shared" si="8"/>
        <v>12</v>
      </c>
      <c r="AY79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156635</v>
      </c>
      <c r="AZ79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79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79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79" s="134">
        <f>SUM(Table40[[#This Row],[Ascension
Cost]:[Talent Cost
(Burst)]])</f>
        <v>2061635</v>
      </c>
      <c r="BE79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79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79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79" s="75">
        <f>SUM(Table53[[#This Row],[NA]:[Burst]])</f>
        <v>0</v>
      </c>
    </row>
    <row r="80" spans="1:60" ht="30" customHeight="1" x14ac:dyDescent="0.25">
      <c r="A80" s="76">
        <f>SUBTOTAL(3,$D$3:Character[[#This Row],[NameHelper]])</f>
        <v>78</v>
      </c>
      <c r="B80" s="77" t="e" vm="884">
        <f>IFERROR(INDEX(ImgDatabase!$D:$D, MATCH(Character[[#This Row],[NameHelper]], ImgDatabase!$E:$E, 0)), "")</f>
        <v>#VALUE!</v>
      </c>
      <c r="C80" s="78" t="s">
        <v>567</v>
      </c>
      <c r="D80" s="78" t="s">
        <v>567</v>
      </c>
      <c r="E80" s="53" t="e" vm="131">
        <f>IFERROR(INDEX(ImgDatabase!$G:$G, MATCH(Character[[#This Row],[NameHelper]], ImgDatabase!$E:$E, 0)), "")</f>
        <v>#VALUE!</v>
      </c>
      <c r="F80" s="53" t="e" vm="546">
        <f>IFERROR(INDEX(CharacterDetailsImg[Weapon Type], MATCH(Character[[#This Row],[NameHelper]], CharacterDetailsImg[Name], 0)), "")</f>
        <v>#VALUE!</v>
      </c>
      <c r="G80" s="79">
        <f>IFERROR(INDEX(CharacterDetailsImg[Released Version], MATCH(Character[[#This Row],[NameHelper]], CharacterDetailsImg[Name], 0)), "")</f>
        <v>1.3</v>
      </c>
      <c r="H80" s="51">
        <v>0</v>
      </c>
      <c r="I80" s="41">
        <v>0</v>
      </c>
      <c r="J80" s="41">
        <v>0</v>
      </c>
      <c r="K80" s="52">
        <v>0</v>
      </c>
      <c r="M80" s="80">
        <v>81</v>
      </c>
      <c r="N80" s="80">
        <v>1</v>
      </c>
      <c r="O80" s="81">
        <v>9</v>
      </c>
      <c r="P80" s="82">
        <v>9</v>
      </c>
      <c r="R80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80" s="83" t="e" vm="598">
        <f>IF(Character[[#This Row],[Name]]="Traveler","",IFERROR(INDEX(ImgDatabase!$I:$I,MATCH(Character[[#This Row],[NameHelper]],ImgDatabase!$E:$E,0)),""))</f>
        <v>#VALUE!</v>
      </c>
      <c r="U80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80" s="85" t="e" vm="212">
        <f>IF(Character[[#This Row],[Name]]="Traveler","",IFERROR(INDEX(ImgDatabase!$K:$K, MATCH(Character[[#This Row],[NameHelper]], ImgDatabase!$E:$E, 0)), ""))</f>
        <v>#VALUE!</v>
      </c>
      <c r="X80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80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80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80" s="85" t="e" vm="408">
        <f>IFERROR(INDEX(ImgDatabase!$J:$J, MATCH(Character[[#This Row],[NameHelper]], ImgDatabase!$E:$E, 0)), "")</f>
        <v>#VALUE!</v>
      </c>
      <c r="AC80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80" s="83" t="e" vm="409">
        <f>IFERROR(INDEX(ImgDatabase!$M:$M, MATCH(Character[[#This Row],[NameHelper]], ImgDatabase!$E:$E, 0)), "")</f>
        <v>#VALUE!</v>
      </c>
      <c r="AF80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80" s="83" t="e" vm="135">
        <f>IFERROR(INDEX(ImgDatabase!$N:$N, MATCH(Character[[#This Row],[NameHelper]], ImgDatabase!$E:$E, 0)), "")</f>
        <v>#VALUE!</v>
      </c>
      <c r="AI80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80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80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80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80" s="53" t="e" vm="462">
        <f>IFERROR(INDEX(ImgDatabase!$L:$L, MATCH(Character[[#This Row],[NameHelper]], ImgDatabase!$E:$E, 0)), "")</f>
        <v>#VALUE!</v>
      </c>
      <c r="AO80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80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80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80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80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80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80" s="89">
        <f t="shared" si="6"/>
        <v>0</v>
      </c>
      <c r="AV80" s="90">
        <f t="shared" si="7"/>
        <v>0</v>
      </c>
      <c r="AW80" s="91">
        <f t="shared" si="8"/>
        <v>0</v>
      </c>
      <c r="AY80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80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80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80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80" s="131">
        <f>SUM(Table40[[#This Row],[Ascension
Cost]:[Talent Cost
(Burst)]])</f>
        <v>0</v>
      </c>
      <c r="BE80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80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80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80" s="75">
        <f>SUM(Table53[[#This Row],[NA]:[Burst]])</f>
        <v>0</v>
      </c>
    </row>
    <row r="81" spans="1:60" ht="30" customHeight="1" x14ac:dyDescent="0.25">
      <c r="A81" s="76">
        <f>SUBTOTAL(3,$D$3:Character[[#This Row],[NameHelper]])</f>
        <v>79</v>
      </c>
      <c r="B81" s="77" t="e" vm="885">
        <f>IFERROR(INDEX(ImgDatabase!$D:$D, MATCH(Character[[#This Row],[NameHelper]], ImgDatabase!$E:$E, 0)), "")</f>
        <v>#VALUE!</v>
      </c>
      <c r="C81" s="78" t="s">
        <v>342</v>
      </c>
      <c r="D81" s="78" t="s">
        <v>342</v>
      </c>
      <c r="E81" s="53" t="e" vm="112">
        <f>IFERROR(INDEX(ImgDatabase!$G:$G, MATCH(Character[[#This Row],[NameHelper]], ImgDatabase!$E:$E, 0)), "")</f>
        <v>#VALUE!</v>
      </c>
      <c r="F81" s="53" t="e" vm="5">
        <f>IFERROR(INDEX(CharacterDetailsImg[Weapon Type], MATCH(Character[[#This Row],[NameHelper]], CharacterDetailsImg[Name], 0)), "")</f>
        <v>#VALUE!</v>
      </c>
      <c r="G81" s="79">
        <f>IFERROR(INDEX(CharacterDetailsImg[Released Version], MATCH(Character[[#This Row],[NameHelper]], CharacterDetailsImg[Name], 0)), "")</f>
        <v>1</v>
      </c>
      <c r="H81" s="51">
        <v>90</v>
      </c>
      <c r="I81" s="41">
        <v>1</v>
      </c>
      <c r="J81" s="41">
        <v>9</v>
      </c>
      <c r="K81" s="52">
        <v>10</v>
      </c>
      <c r="M81" s="80">
        <v>81</v>
      </c>
      <c r="N81" s="80">
        <v>1</v>
      </c>
      <c r="O81" s="81">
        <v>9</v>
      </c>
      <c r="P81" s="82">
        <v>9</v>
      </c>
      <c r="R81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81" s="83" t="e" vm="337">
        <f>IF(Character[[#This Row],[Name]]="Traveler","",IFERROR(INDEX(ImgDatabase!$I:$I,MATCH(Character[[#This Row],[NameHelper]],ImgDatabase!$E:$E,0)),""))</f>
        <v>#VALUE!</v>
      </c>
      <c r="U81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81" s="85" t="e" vm="338">
        <f>IF(Character[[#This Row],[Name]]="Traveler","",IFERROR(INDEX(ImgDatabase!$K:$K, MATCH(Character[[#This Row],[NameHelper]], ImgDatabase!$E:$E, 0)), ""))</f>
        <v>#VALUE!</v>
      </c>
      <c r="X81" s="6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81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81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81" s="92" t="e" vm="282">
        <f>IFERROR(INDEX(ImgDatabase!$J:$J, MATCH(Character[[#This Row],[NameHelper]], ImgDatabase!$E:$E, 0)), "")</f>
        <v>#VALUE!</v>
      </c>
      <c r="AC81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81" s="63" t="e" vm="339">
        <f>IFERROR(INDEX(ImgDatabase!$M:$M, MATCH(Character[[#This Row],[NameHelper]], ImgDatabase!$E:$E, 0)), "")</f>
        <v>#VALUE!</v>
      </c>
      <c r="AF81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81" s="63" t="e" vm="117">
        <f>IFERROR(INDEX(ImgDatabase!$N:$N, MATCH(Character[[#This Row],[NameHelper]], ImgDatabase!$E:$E, 0)), "")</f>
        <v>#VALUE!</v>
      </c>
      <c r="AI81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81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81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81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81" s="64" t="e" vm="133">
        <f>IFERROR(INDEX(ImgDatabase!$L:$L, MATCH(Character[[#This Row],[NameHelper]], ImgDatabase!$E:$E, 0)), "")</f>
        <v>#VALUE!</v>
      </c>
      <c r="AO81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81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81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81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81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81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81" s="70">
        <f t="shared" si="6"/>
        <v>0</v>
      </c>
      <c r="AV81" s="71">
        <f t="shared" si="7"/>
        <v>0</v>
      </c>
      <c r="AW81" s="72">
        <f t="shared" si="8"/>
        <v>0</v>
      </c>
      <c r="AY81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81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81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81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81" s="134">
        <f>SUM(Table40[[#This Row],[Ascension
Cost]:[Talent Cost
(Burst)]])</f>
        <v>0</v>
      </c>
      <c r="BE81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81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81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81" s="75">
        <f>SUM(Table53[[#This Row],[NA]:[Burst]])</f>
        <v>0</v>
      </c>
    </row>
    <row r="82" spans="1:60" ht="30" customHeight="1" x14ac:dyDescent="0.25">
      <c r="A82" s="76">
        <f>SUBTOTAL(3,$D$3:Character[[#This Row],[NameHelper]])</f>
        <v>80</v>
      </c>
      <c r="B82" s="77" t="e" vm="886">
        <f>IFERROR(INDEX(ImgDatabase!$D:$D, MATCH(Character[[#This Row],[NameHelper]], ImgDatabase!$E:$E, 0)), "")</f>
        <v>#VALUE!</v>
      </c>
      <c r="C82" s="78" t="s">
        <v>505</v>
      </c>
      <c r="D82" s="78" t="s">
        <v>505</v>
      </c>
      <c r="E82" s="53" t="e" vm="50">
        <f>IFERROR(INDEX(ImgDatabase!$G:$G, MATCH(Character[[#This Row],[NameHelper]], ImgDatabase!$E:$E, 0)), "")</f>
        <v>#VALUE!</v>
      </c>
      <c r="F82" s="53" t="e" vm="479">
        <f>IFERROR(INDEX(CharacterDetailsImg[Weapon Type], MATCH(Character[[#This Row],[NameHelper]], CharacterDetailsImg[Name], 0)), "")</f>
        <v>#VALUE!</v>
      </c>
      <c r="G82" s="79">
        <f>IFERROR(INDEX(CharacterDetailsImg[Released Version], MATCH(Character[[#This Row],[NameHelper]], CharacterDetailsImg[Name], 0)), "")</f>
        <v>1.1000000000000001</v>
      </c>
      <c r="H82" s="51">
        <v>40</v>
      </c>
      <c r="I82" s="41">
        <v>1</v>
      </c>
      <c r="J82" s="41">
        <v>1</v>
      </c>
      <c r="K82" s="52">
        <v>1</v>
      </c>
      <c r="M82" s="80">
        <v>81</v>
      </c>
      <c r="N82" s="80">
        <v>1</v>
      </c>
      <c r="O82" s="81">
        <v>9</v>
      </c>
      <c r="P82" s="82">
        <v>9</v>
      </c>
      <c r="R82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222</v>
      </c>
      <c r="T82" s="83" t="e" vm="51">
        <f>IF(Character[[#This Row],[Name]]="Traveler","",IFERROR(INDEX(ImgDatabase!$I:$I,MATCH(Character[[#This Row],[NameHelper]],ImgDatabase!$E:$E,0)),""))</f>
        <v>#VALUE!</v>
      </c>
      <c r="U82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82" s="85" t="e" vm="338">
        <f>IF(Character[[#This Row],[Name]]="Traveler","",IFERROR(INDEX(ImgDatabase!$K:$K, MATCH(Character[[#This Row],[NameHelper]], ImgDatabase!$E:$E, 0)), ""))</f>
        <v>#VALUE!</v>
      </c>
      <c r="X82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82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82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82" s="85" t="e" vm="8">
        <f>IFERROR(INDEX(ImgDatabase!$J:$J, MATCH(Character[[#This Row],[NameHelper]], ImgDatabase!$E:$E, 0)), "")</f>
        <v>#VALUE!</v>
      </c>
      <c r="AC82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82" s="83" t="e" vm="283">
        <f>IFERROR(INDEX(ImgDatabase!$M:$M, MATCH(Character[[#This Row],[NameHelper]], ImgDatabase!$E:$E, 0)), "")</f>
        <v>#VALUE!</v>
      </c>
      <c r="AF82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82" s="83" t="e" vm="56">
        <f>IFERROR(INDEX(ImgDatabase!$N:$N, MATCH(Character[[#This Row],[NameHelper]], ImgDatabase!$E:$E, 0)), "")</f>
        <v>#VALUE!</v>
      </c>
      <c r="AI82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82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82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82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82" s="53" t="e" vm="54">
        <f>IFERROR(INDEX(ImgDatabase!$L:$L, MATCH(Character[[#This Row],[NameHelper]], ImgDatabase!$E:$E, 0)), "")</f>
        <v>#VALUE!</v>
      </c>
      <c r="AO82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82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82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82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82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82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82" s="89">
        <f t="shared" si="6"/>
        <v>74</v>
      </c>
      <c r="AV82" s="90">
        <f t="shared" si="7"/>
        <v>74</v>
      </c>
      <c r="AW82" s="91">
        <f t="shared" si="8"/>
        <v>27</v>
      </c>
      <c r="AY82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1284840</v>
      </c>
      <c r="AZ82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82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82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82" s="131">
        <f>SUM(Table40[[#This Row],[Ascension
Cost]:[Talent Cost
(Burst)]])</f>
        <v>3189840</v>
      </c>
      <c r="BE82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82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82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82" s="75">
        <f>SUM(Table53[[#This Row],[NA]:[Burst]])</f>
        <v>0</v>
      </c>
    </row>
    <row r="83" spans="1:60" ht="30" customHeight="1" x14ac:dyDescent="0.25">
      <c r="A83" s="76">
        <f>SUBTOTAL(3,$D$3:Character[[#This Row],[NameHelper]])</f>
        <v>81</v>
      </c>
      <c r="B83" s="77" t="e" vm="887">
        <f>IFERROR(INDEX(ImgDatabase!$D:$D, MATCH(Character[[#This Row],[NameHelper]], ImgDatabase!$E:$E, 0)), "")</f>
        <v>#VALUE!</v>
      </c>
      <c r="C83" s="78" t="s">
        <v>703</v>
      </c>
      <c r="D83" s="78" t="s">
        <v>543</v>
      </c>
      <c r="E83" s="53" t="e" vm="91">
        <f>IFERROR(INDEX(ImgDatabase!$G:$G, MATCH(Character[[#This Row],[NameHelper]], ImgDatabase!$E:$E, 0)), "")</f>
        <v>#VALUE!</v>
      </c>
      <c r="F83" s="53" t="e" vm="552">
        <f>IFERROR(INDEX(CharacterDetailsImg[Weapon Type], MATCH(Character[[#This Row],[NameHelper]], CharacterDetailsImg[Name], 0)), "")</f>
        <v>#VALUE!</v>
      </c>
      <c r="G83" s="79">
        <f>IFERROR(INDEX(CharacterDetailsImg[Released Version], MATCH(Character[[#This Row],[NameHelper]], CharacterDetailsImg[Name], 0)), "")</f>
        <v>2.5</v>
      </c>
      <c r="H83" s="51">
        <v>0</v>
      </c>
      <c r="I83" s="93">
        <v>0</v>
      </c>
      <c r="J83" s="93">
        <v>0</v>
      </c>
      <c r="K83" s="52">
        <v>0</v>
      </c>
      <c r="M83" s="80">
        <v>81</v>
      </c>
      <c r="N83" s="80">
        <v>1</v>
      </c>
      <c r="O83" s="81">
        <v>9</v>
      </c>
      <c r="P83" s="82">
        <v>9</v>
      </c>
      <c r="R83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83" s="83" t="e" vm="595">
        <f>IF(Character[[#This Row],[Name]]="Traveler","",IFERROR(INDEX(ImgDatabase!$I:$I,MATCH(Character[[#This Row],[NameHelper]],ImgDatabase!$E:$E,0)),""))</f>
        <v>#VALUE!</v>
      </c>
      <c r="U83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83" s="85" t="e" vm="74">
        <f>IF(Character[[#This Row],[Name]]="Traveler","",IFERROR(INDEX(ImgDatabase!$K:$K, MATCH(Character[[#This Row],[NameHelper]], ImgDatabase!$E:$E, 0)), ""))</f>
        <v>#VALUE!</v>
      </c>
      <c r="X83" s="6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83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83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83" s="92" t="e" vm="456">
        <f>IFERROR(INDEX(ImgDatabase!$J:$J, MATCH(Character[[#This Row],[NameHelper]], ImgDatabase!$E:$E, 0)), "")</f>
        <v>#VALUE!</v>
      </c>
      <c r="AC83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83" s="63" t="e" vm="152">
        <f>IFERROR(INDEX(ImgDatabase!$M:$M, MATCH(Character[[#This Row],[NameHelper]], ImgDatabase!$E:$E, 0)), "")</f>
        <v>#VALUE!</v>
      </c>
      <c r="AF83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83" s="63" t="e" vm="97">
        <f>IFERROR(INDEX(ImgDatabase!$N:$N, MATCH(Character[[#This Row],[NameHelper]], ImgDatabase!$E:$E, 0)), "")</f>
        <v>#VALUE!</v>
      </c>
      <c r="AI83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83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83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83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83" s="64" t="e" vm="184">
        <f>IFERROR(INDEX(ImgDatabase!$L:$L, MATCH(Character[[#This Row],[NameHelper]], ImgDatabase!$E:$E, 0)), "")</f>
        <v>#VALUE!</v>
      </c>
      <c r="AO83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83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83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83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83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83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83" s="70">
        <f t="shared" si="6"/>
        <v>0</v>
      </c>
      <c r="AV83" s="71">
        <f t="shared" si="7"/>
        <v>0</v>
      </c>
      <c r="AW83" s="72">
        <f t="shared" si="8"/>
        <v>0</v>
      </c>
      <c r="AY83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83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83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83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83" s="134">
        <f>SUM(Table40[[#This Row],[Ascension
Cost]:[Talent Cost
(Burst)]])</f>
        <v>0</v>
      </c>
      <c r="BE83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83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83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83" s="75">
        <f>SUM(Table53[[#This Row],[NA]:[Burst]])</f>
        <v>0</v>
      </c>
    </row>
    <row r="84" spans="1:60" ht="30" customHeight="1" x14ac:dyDescent="0.25">
      <c r="A84" s="76">
        <f>SUBTOTAL(3,$D$3:Character[[#This Row],[NameHelper]])</f>
        <v>82</v>
      </c>
      <c r="B84" s="77" t="e" vm="888">
        <f>IFERROR(INDEX(ImgDatabase!$D:$D, MATCH(Character[[#This Row],[NameHelper]], ImgDatabase!$E:$E, 0)), "")</f>
        <v>#VALUE!</v>
      </c>
      <c r="C84" s="78" t="s">
        <v>545</v>
      </c>
      <c r="D84" s="78" t="s">
        <v>545</v>
      </c>
      <c r="E84" s="53" t="e" vm="50">
        <f>IFERROR(INDEX(ImgDatabase!$G:$G, MATCH(Character[[#This Row],[NameHelper]], ImgDatabase!$E:$E, 0)), "")</f>
        <v>#VALUE!</v>
      </c>
      <c r="F84" s="53" t="e" vm="552">
        <f>IFERROR(INDEX(CharacterDetailsImg[Weapon Type], MATCH(Character[[#This Row],[NameHelper]], CharacterDetailsImg[Name], 0)), "")</f>
        <v>#VALUE!</v>
      </c>
      <c r="G84" s="79">
        <f>IFERROR(INDEX(CharacterDetailsImg[Released Version], MATCH(Character[[#This Row],[NameHelper]], CharacterDetailsImg[Name], 0)), "")</f>
        <v>1.5</v>
      </c>
      <c r="H84" s="51">
        <v>80</v>
      </c>
      <c r="I84" s="41">
        <v>4</v>
      </c>
      <c r="J84" s="41">
        <v>4</v>
      </c>
      <c r="K84" s="52">
        <v>4</v>
      </c>
      <c r="M84" s="80">
        <v>81</v>
      </c>
      <c r="N84" s="80">
        <v>1</v>
      </c>
      <c r="O84" s="81">
        <v>9</v>
      </c>
      <c r="P84" s="82">
        <v>9</v>
      </c>
      <c r="R84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10</v>
      </c>
      <c r="T84" s="83" t="e" vm="598">
        <f>IF(Character[[#This Row],[Name]]="Traveler","",IFERROR(INDEX(ImgDatabase!$I:$I,MATCH(Character[[#This Row],[NameHelper]],ImgDatabase!$E:$E,0)),""))</f>
        <v>#VALUE!</v>
      </c>
      <c r="U84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20</v>
      </c>
      <c r="W84" s="85" t="e" vm="338">
        <f>IF(Character[[#This Row],[Name]]="Traveler","",IFERROR(INDEX(ImgDatabase!$K:$K, MATCH(Character[[#This Row],[NameHelper]], ImgDatabase!$E:$E, 0)), ""))</f>
        <v>#VALUE!</v>
      </c>
      <c r="X84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84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30</v>
      </c>
      <c r="Z84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84" s="85" t="e" vm="182">
        <f>IFERROR(INDEX(ImgDatabase!$J:$J, MATCH(Character[[#This Row],[NameHelper]], ImgDatabase!$E:$E, 0)), "")</f>
        <v>#VALUE!</v>
      </c>
      <c r="AC84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84" s="83" t="e" vm="487">
        <f>IFERROR(INDEX(ImgDatabase!$M:$M, MATCH(Character[[#This Row],[NameHelper]], ImgDatabase!$E:$E, 0)), "")</f>
        <v>#VALUE!</v>
      </c>
      <c r="AF84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60</v>
      </c>
      <c r="AH84" s="83" t="e" vm="56">
        <f>IFERROR(INDEX(ImgDatabase!$N:$N, MATCH(Character[[#This Row],[NameHelper]], ImgDatabase!$E:$E, 0)), "")</f>
        <v>#VALUE!</v>
      </c>
      <c r="AI84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84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84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84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84" s="53" t="e" vm="54">
        <f>IFERROR(INDEX(ImgDatabase!$L:$L, MATCH(Character[[#This Row],[NameHelper]], ImgDatabase!$E:$E, 0)), "")</f>
        <v>#VALUE!</v>
      </c>
      <c r="AO84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24</v>
      </c>
      <c r="AP84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84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84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84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30</v>
      </c>
      <c r="AT84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84" s="89">
        <f t="shared" si="6"/>
        <v>62</v>
      </c>
      <c r="AV84" s="90">
        <f t="shared" si="7"/>
        <v>30</v>
      </c>
      <c r="AW84" s="91">
        <f t="shared" si="8"/>
        <v>0</v>
      </c>
      <c r="AY84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156635</v>
      </c>
      <c r="AZ84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84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897500</v>
      </c>
      <c r="BB84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897500</v>
      </c>
      <c r="BC84" s="131">
        <f>SUM(Table40[[#This Row],[Ascension
Cost]:[Talent Cost
(Burst)]])</f>
        <v>1951635</v>
      </c>
      <c r="BE84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84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84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84" s="75">
        <f>SUM(Table53[[#This Row],[NA]:[Burst]])</f>
        <v>0</v>
      </c>
    </row>
    <row r="85" spans="1:60" ht="30" customHeight="1" x14ac:dyDescent="0.25">
      <c r="A85" s="76">
        <f>SUBTOTAL(3,$D$3:Character[[#This Row],[NameHelper]])</f>
        <v>83</v>
      </c>
      <c r="B85" s="77" t="e" vm="889">
        <f>IFERROR(INDEX(ImgDatabase!$D:$D, MATCH(Character[[#This Row],[NameHelper]], ImgDatabase!$E:$E, 0)), "")</f>
        <v>#VALUE!</v>
      </c>
      <c r="C85" s="78" t="s">
        <v>569</v>
      </c>
      <c r="D85" s="78" t="s">
        <v>569</v>
      </c>
      <c r="E85" s="53" t="e" vm="28">
        <f>IFERROR(INDEX(ImgDatabase!$G:$G, MATCH(Character[[#This Row],[NameHelper]], ImgDatabase!$E:$E, 0)), "")</f>
        <v>#VALUE!</v>
      </c>
      <c r="F85" s="53" t="e" vm="546">
        <f>IFERROR(INDEX(CharacterDetailsImg[Weapon Type], MATCH(Character[[#This Row],[NameHelper]], CharacterDetailsImg[Name], 0)), "")</f>
        <v>#VALUE!</v>
      </c>
      <c r="G85" s="79">
        <f>IFERROR(INDEX(CharacterDetailsImg[Released Version], MATCH(Character[[#This Row],[NameHelper]], CharacterDetailsImg[Name], 0)), "")</f>
        <v>3.4</v>
      </c>
      <c r="H85" s="51">
        <v>21</v>
      </c>
      <c r="I85" s="41">
        <v>1</v>
      </c>
      <c r="J85" s="41">
        <v>1</v>
      </c>
      <c r="K85" s="52">
        <v>1</v>
      </c>
      <c r="M85" s="80">
        <v>81</v>
      </c>
      <c r="N85" s="80">
        <v>1</v>
      </c>
      <c r="O85" s="81">
        <v>9</v>
      </c>
      <c r="P85" s="82">
        <v>9</v>
      </c>
      <c r="R85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250</v>
      </c>
      <c r="T85" s="83" t="e" vm="522">
        <f>IF(Character[[#This Row],[Name]]="Traveler","",IFERROR(INDEX(ImgDatabase!$I:$I,MATCH(Character[[#This Row],[NameHelper]],ImgDatabase!$E:$E,0)),""))</f>
        <v>#VALUE!</v>
      </c>
      <c r="U85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85" s="85" t="e" vm="151">
        <f>IF(Character[[#This Row],[Name]]="Traveler","",IFERROR(INDEX(ImgDatabase!$K:$K, MATCH(Character[[#This Row],[NameHelper]], ImgDatabase!$E:$E, 0)), ""))</f>
        <v>#VALUE!</v>
      </c>
      <c r="X85" s="6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85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85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85" s="92" t="e" vm="443">
        <f>IFERROR(INDEX(ImgDatabase!$J:$J, MATCH(Character[[#This Row],[NameHelper]], ImgDatabase!$E:$E, 0)), "")</f>
        <v>#VALUE!</v>
      </c>
      <c r="AC85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85" s="63" t="e" vm="621">
        <f>IFERROR(INDEX(ImgDatabase!$M:$M, MATCH(Character[[#This Row],[NameHelper]], ImgDatabase!$E:$E, 0)), "")</f>
        <v>#VALUE!</v>
      </c>
      <c r="AF85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85" s="63" t="e" vm="34">
        <f>IFERROR(INDEX(ImgDatabase!$N:$N, MATCH(Character[[#This Row],[NameHelper]], ImgDatabase!$E:$E, 0)), "")</f>
        <v>#VALUE!</v>
      </c>
      <c r="AI85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85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85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85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85" s="64" t="e" vm="462">
        <f>IFERROR(INDEX(ImgDatabase!$L:$L, MATCH(Character[[#This Row],[NameHelper]], ImgDatabase!$E:$E, 0)), "")</f>
        <v>#VALUE!</v>
      </c>
      <c r="AO85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85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85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85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85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85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85" s="70">
        <f t="shared" si="6"/>
        <v>74</v>
      </c>
      <c r="AV85" s="71">
        <f t="shared" si="7"/>
        <v>74</v>
      </c>
      <c r="AW85" s="72">
        <f t="shared" si="8"/>
        <v>27</v>
      </c>
      <c r="AY85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1397530</v>
      </c>
      <c r="AZ85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85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85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85" s="134">
        <f>SUM(Table40[[#This Row],[Ascension
Cost]:[Talent Cost
(Burst)]])</f>
        <v>3302530</v>
      </c>
      <c r="BE85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85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85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85" s="75">
        <f>SUM(Table53[[#This Row],[NA]:[Burst]])</f>
        <v>0</v>
      </c>
    </row>
    <row r="86" spans="1:60" ht="30" customHeight="1" x14ac:dyDescent="0.25">
      <c r="A86" s="76">
        <f>SUBTOTAL(3,$D$3:Character[[#This Row],[NameHelper]])</f>
        <v>84</v>
      </c>
      <c r="B86" s="77" t="e" vm="890">
        <f>IFERROR(INDEX(ImgDatabase!$D:$D, MATCH(Character[[#This Row],[NameHelper]], ImgDatabase!$E:$E, 0)), "")</f>
        <v>#VALUE!</v>
      </c>
      <c r="C86" s="78" t="s">
        <v>449</v>
      </c>
      <c r="D86" s="78" t="s">
        <v>449</v>
      </c>
      <c r="E86" s="53" t="e" vm="112">
        <f>IFERROR(INDEX(ImgDatabase!$G:$G, MATCH(Character[[#This Row],[NameHelper]], ImgDatabase!$E:$E, 0)), "")</f>
        <v>#VALUE!</v>
      </c>
      <c r="F86" s="53" t="e" vm="348">
        <f>IFERROR(INDEX(CharacterDetailsImg[Weapon Type], MATCH(Character[[#This Row],[NameHelper]], CharacterDetailsImg[Name], 0)), "")</f>
        <v>#VALUE!</v>
      </c>
      <c r="G86" s="79">
        <f>IFERROR(INDEX(CharacterDetailsImg[Released Version], MATCH(Character[[#This Row],[NameHelper]], CharacterDetailsImg[Name], 0)), "")</f>
        <v>2.7</v>
      </c>
      <c r="H86" s="51">
        <v>90</v>
      </c>
      <c r="I86" s="41">
        <v>1</v>
      </c>
      <c r="J86" s="41">
        <v>9</v>
      </c>
      <c r="K86" s="52">
        <v>10</v>
      </c>
      <c r="M86" s="80">
        <v>81</v>
      </c>
      <c r="N86" s="80">
        <v>1</v>
      </c>
      <c r="O86" s="81">
        <v>9</v>
      </c>
      <c r="P86" s="82">
        <v>9</v>
      </c>
      <c r="R86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86" s="83" t="e" vm="239">
        <f>IF(Character[[#This Row],[Name]]="Traveler","",IFERROR(INDEX(ImgDatabase!$I:$I,MATCH(Character[[#This Row],[NameHelper]],ImgDatabase!$E:$E,0)),""))</f>
        <v>#VALUE!</v>
      </c>
      <c r="U86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86" s="85" t="e" vm="212">
        <f>IF(Character[[#This Row],[Name]]="Traveler","",IFERROR(INDEX(ImgDatabase!$K:$K, MATCH(Character[[#This Row],[NameHelper]], ImgDatabase!$E:$E, 0)), ""))</f>
        <v>#VALUE!</v>
      </c>
      <c r="X86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86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86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86" s="85" t="e" vm="150">
        <f>IFERROR(INDEX(ImgDatabase!$J:$J, MATCH(Character[[#This Row],[NameHelper]], ImgDatabase!$E:$E, 0)), "")</f>
        <v>#VALUE!</v>
      </c>
      <c r="AC86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86" s="83" t="e" vm="450">
        <f>IFERROR(INDEX(ImgDatabase!$M:$M, MATCH(Character[[#This Row],[NameHelper]], ImgDatabase!$E:$E, 0)), "")</f>
        <v>#VALUE!</v>
      </c>
      <c r="AF86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86" s="83" t="e" vm="117">
        <f>IFERROR(INDEX(ImgDatabase!$N:$N, MATCH(Character[[#This Row],[NameHelper]], ImgDatabase!$E:$E, 0)), "")</f>
        <v>#VALUE!</v>
      </c>
      <c r="AI86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86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86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86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86" s="53" t="e" vm="435">
        <f>IFERROR(INDEX(ImgDatabase!$L:$L, MATCH(Character[[#This Row],[NameHelper]], ImgDatabase!$E:$E, 0)), "")</f>
        <v>#VALUE!</v>
      </c>
      <c r="AO86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86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86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86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86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86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86" s="89">
        <f t="shared" si="6"/>
        <v>0</v>
      </c>
      <c r="AV86" s="90">
        <f t="shared" si="7"/>
        <v>0</v>
      </c>
      <c r="AW86" s="91">
        <f t="shared" si="8"/>
        <v>0</v>
      </c>
      <c r="AY86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86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86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86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86" s="131">
        <f>SUM(Table40[[#This Row],[Ascension
Cost]:[Talent Cost
(Burst)]])</f>
        <v>0</v>
      </c>
      <c r="BE86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86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86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86" s="75">
        <f>SUM(Table53[[#This Row],[NA]:[Burst]])</f>
        <v>0</v>
      </c>
    </row>
    <row r="87" spans="1:60" ht="30" customHeight="1" x14ac:dyDescent="0.25">
      <c r="A87" s="76">
        <f>SUBTOTAL(3,$D$3:Character[[#This Row],[NameHelper]])</f>
        <v>85</v>
      </c>
      <c r="B87" s="77" t="e" vm="891">
        <f>IFERROR(INDEX(ImgDatabase!$D:$D, MATCH(Character[[#This Row],[NameHelper]], ImgDatabase!$E:$E, 0)), "")</f>
        <v>#VALUE!</v>
      </c>
      <c r="C87" s="78" t="s">
        <v>704</v>
      </c>
      <c r="D87" s="78" t="s">
        <v>454</v>
      </c>
      <c r="E87" s="53" t="e" vm="50">
        <f>IFERROR(INDEX(ImgDatabase!$G:$G, MATCH(Character[[#This Row],[NameHelper]], ImgDatabase!$E:$E, 0)), "")</f>
        <v>#VALUE!</v>
      </c>
      <c r="F87" s="53" t="e" vm="348">
        <f>IFERROR(INDEX(CharacterDetailsImg[Weapon Type], MATCH(Character[[#This Row],[NameHelper]], CharacterDetailsImg[Name], 0)), "")</f>
        <v>#VALUE!</v>
      </c>
      <c r="G87" s="79">
        <f>IFERROR(INDEX(CharacterDetailsImg[Released Version], MATCH(Character[[#This Row],[NameHelper]], CharacterDetailsImg[Name], 0)), "")</f>
        <v>2</v>
      </c>
      <c r="H87" s="51">
        <v>90</v>
      </c>
      <c r="I87" s="41">
        <v>9</v>
      </c>
      <c r="J87" s="41">
        <v>9</v>
      </c>
      <c r="K87" s="52">
        <v>1</v>
      </c>
      <c r="M87" s="80">
        <v>81</v>
      </c>
      <c r="N87" s="80">
        <v>1</v>
      </c>
      <c r="O87" s="81">
        <v>9</v>
      </c>
      <c r="P87" s="82">
        <v>9</v>
      </c>
      <c r="R87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87" s="83" t="e" vm="473">
        <f>IF(Character[[#This Row],[Name]]="Traveler","",IFERROR(INDEX(ImgDatabase!$I:$I,MATCH(Character[[#This Row],[NameHelper]],ImgDatabase!$E:$E,0)),""))</f>
        <v>#VALUE!</v>
      </c>
      <c r="U87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87" s="85" t="e" vm="226">
        <f>IF(Character[[#This Row],[Name]]="Traveler","",IFERROR(INDEX(ImgDatabase!$K:$K, MATCH(Character[[#This Row],[NameHelper]], ImgDatabase!$E:$E, 0)), ""))</f>
        <v>#VALUE!</v>
      </c>
      <c r="X87" s="6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22</v>
      </c>
      <c r="Y87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21</v>
      </c>
      <c r="Z87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3</v>
      </c>
      <c r="AB87" s="92" t="e" vm="311">
        <f>IFERROR(INDEX(ImgDatabase!$J:$J, MATCH(Character[[#This Row],[NameHelper]], ImgDatabase!$E:$E, 0)), "")</f>
        <v>#VALUE!</v>
      </c>
      <c r="AC87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4</v>
      </c>
      <c r="AE87" s="63" t="e" vm="241">
        <f>IFERROR(INDEX(ImgDatabase!$M:$M, MATCH(Character[[#This Row],[NameHelper]], ImgDatabase!$E:$E, 0)), "")</f>
        <v>#VALUE!</v>
      </c>
      <c r="AF87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87" s="63" t="e" vm="56">
        <f>IFERROR(INDEX(ImgDatabase!$N:$N, MATCH(Character[[#This Row],[NameHelper]], ImgDatabase!$E:$E, 0)), "")</f>
        <v>#VALUE!</v>
      </c>
      <c r="AI87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87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87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87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87" s="64" t="e" vm="10">
        <f>IFERROR(INDEX(ImgDatabase!$L:$L, MATCH(Character[[#This Row],[NameHelper]], ImgDatabase!$E:$E, 0)), "")</f>
        <v>#VALUE!</v>
      </c>
      <c r="AO87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87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87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87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19</v>
      </c>
      <c r="AS87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22</v>
      </c>
      <c r="AT87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6</v>
      </c>
      <c r="AU87" s="70">
        <f t="shared" si="6"/>
        <v>19</v>
      </c>
      <c r="AV87" s="71">
        <f t="shared" si="7"/>
        <v>22</v>
      </c>
      <c r="AW87" s="72">
        <f t="shared" si="8"/>
        <v>6</v>
      </c>
      <c r="AY87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87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87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87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87" s="134">
        <f>SUM(Table40[[#This Row],[Ascension
Cost]:[Talent Cost
(Burst)]])</f>
        <v>952500</v>
      </c>
      <c r="BE87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87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87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87" s="75">
        <f>SUM(Table53[[#This Row],[NA]:[Burst]])</f>
        <v>0</v>
      </c>
    </row>
    <row r="88" spans="1:60" ht="30" customHeight="1" x14ac:dyDescent="0.25">
      <c r="A88" s="76">
        <f>SUBTOTAL(3,$D$3:Character[[#This Row],[NameHelper]])</f>
        <v>86</v>
      </c>
      <c r="B88" s="77" t="e" vm="892">
        <f>IFERROR(INDEX(ImgDatabase!$D:$D, MATCH(Character[[#This Row],[NameHelper]], ImgDatabase!$E:$E, 0)), "")</f>
        <v>#VALUE!</v>
      </c>
      <c r="C88" s="78" t="s">
        <v>705</v>
      </c>
      <c r="D88" s="78" t="s">
        <v>571</v>
      </c>
      <c r="E88" s="53" t="e" vm="6">
        <f>IFERROR(INDEX(ImgDatabase!$G:$G, MATCH(Character[[#This Row],[NameHelper]], ImgDatabase!$E:$E, 0)), "")</f>
        <v>#VALUE!</v>
      </c>
      <c r="F88" s="53" t="e" vm="546">
        <f>IFERROR(INDEX(CharacterDetailsImg[Weapon Type], MATCH(Character[[#This Row],[NameHelper]], CharacterDetailsImg[Name], 0)), "")</f>
        <v>#VALUE!</v>
      </c>
      <c r="G88" s="79">
        <f>IFERROR(INDEX(CharacterDetailsImg[Released Version], MATCH(Character[[#This Row],[NameHelper]], CharacterDetailsImg[Name], 0)), "")</f>
        <v>2.4</v>
      </c>
      <c r="H88" s="51">
        <v>40</v>
      </c>
      <c r="I88" s="41">
        <v>1</v>
      </c>
      <c r="J88" s="41">
        <v>1</v>
      </c>
      <c r="K88" s="52">
        <v>1</v>
      </c>
      <c r="M88" s="80">
        <v>81</v>
      </c>
      <c r="N88" s="80">
        <v>1</v>
      </c>
      <c r="O88" s="81">
        <v>9</v>
      </c>
      <c r="P88" s="82">
        <v>9</v>
      </c>
      <c r="R88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222</v>
      </c>
      <c r="T88" s="83" t="e" vm="480">
        <f>IF(Character[[#This Row],[Name]]="Traveler","",IFERROR(INDEX(ImgDatabase!$I:$I,MATCH(Character[[#This Row],[NameHelper]],ImgDatabase!$E:$E,0)),""))</f>
        <v>#VALUE!</v>
      </c>
      <c r="U88" s="84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46</v>
      </c>
      <c r="W88" s="85" t="e" vm="151">
        <f>IF(Character[[#This Row],[Name]]="Traveler","",IFERROR(INDEX(ImgDatabase!$K:$K, MATCH(Character[[#This Row],[NameHelper]], ImgDatabase!$E:$E, 0)), ""))</f>
        <v>#VALUE!</v>
      </c>
      <c r="X88" s="5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44</v>
      </c>
      <c r="Y88" s="5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42</v>
      </c>
      <c r="Z88" s="86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6</v>
      </c>
      <c r="AB88" s="85" t="e" vm="425">
        <f>IFERROR(INDEX(ImgDatabase!$J:$J, MATCH(Character[[#This Row],[NameHelper]], ImgDatabase!$E:$E, 0)), "")</f>
        <v>#VALUE!</v>
      </c>
      <c r="AC88" s="86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8</v>
      </c>
      <c r="AE88" s="83" t="e" vm="576">
        <f>IFERROR(INDEX(ImgDatabase!$M:$M, MATCH(Character[[#This Row],[NameHelper]], ImgDatabase!$E:$E, 0)), "")</f>
        <v>#VALUE!</v>
      </c>
      <c r="AF88" s="84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165</v>
      </c>
      <c r="AH88" s="83" t="e" vm="12">
        <f>IFERROR(INDEX(ImgDatabase!$N:$N, MATCH(Character[[#This Row],[NameHelper]], ImgDatabase!$E:$E, 0)), "")</f>
        <v>#VALUE!</v>
      </c>
      <c r="AI88" s="53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6</v>
      </c>
      <c r="AJ88" s="53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9</v>
      </c>
      <c r="AK88" s="53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9</v>
      </c>
      <c r="AL88" s="53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88" s="53" t="e" vm="133">
        <f>IFERROR(INDEX(ImgDatabase!$L:$L, MATCH(Character[[#This Row],[NameHelper]], ImgDatabase!$E:$E, 0)), "")</f>
        <v>#VALUE!</v>
      </c>
      <c r="AO88" s="87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36</v>
      </c>
      <c r="AP88" s="53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30</v>
      </c>
      <c r="AQ88" s="84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15</v>
      </c>
      <c r="AR88" s="88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38</v>
      </c>
      <c r="AS88" s="5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44</v>
      </c>
      <c r="AT88" s="86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12</v>
      </c>
      <c r="AU88" s="89">
        <f t="shared" si="6"/>
        <v>74</v>
      </c>
      <c r="AV88" s="90">
        <f t="shared" si="7"/>
        <v>74</v>
      </c>
      <c r="AW88" s="91">
        <f t="shared" si="8"/>
        <v>27</v>
      </c>
      <c r="AY88" s="129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1284840</v>
      </c>
      <c r="AZ88" s="130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88" s="130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952500</v>
      </c>
      <c r="BB88" s="130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952500</v>
      </c>
      <c r="BC88" s="131">
        <f>SUM(Table40[[#This Row],[Ascension
Cost]:[Talent Cost
(Burst)]])</f>
        <v>3189840</v>
      </c>
      <c r="BE88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88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88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88" s="75">
        <f>SUM(Table53[[#This Row],[NA]:[Burst]])</f>
        <v>0</v>
      </c>
    </row>
    <row r="89" spans="1:60" ht="30" customHeight="1" thickBot="1" x14ac:dyDescent="0.3">
      <c r="A89" s="94">
        <f>SUBTOTAL(3,$D$3:Character[[#This Row],[NameHelper]])</f>
        <v>87</v>
      </c>
      <c r="B89" s="95" t="e" vm="893">
        <f>IFERROR(INDEX(ImgDatabase!$D:$D, MATCH(Character[[#This Row],[NameHelper]], ImgDatabase!$E:$E, 0)), "")</f>
        <v>#VALUE!</v>
      </c>
      <c r="C89" s="96" t="s">
        <v>573</v>
      </c>
      <c r="D89" s="96" t="s">
        <v>573</v>
      </c>
      <c r="E89" s="97" t="e" vm="6">
        <f>IFERROR(INDEX(ImgDatabase!$G:$G, MATCH(Character[[#This Row],[NameHelper]], ImgDatabase!$E:$E, 0)), "")</f>
        <v>#VALUE!</v>
      </c>
      <c r="F89" s="97" t="e" vm="546">
        <f>IFERROR(INDEX(CharacterDetailsImg[Weapon Type], MATCH(Character[[#This Row],[NameHelper]], CharacterDetailsImg[Name], 0)), "")</f>
        <v>#VALUE!</v>
      </c>
      <c r="G89" s="98">
        <f>IFERROR(INDEX(CharacterDetailsImg[Released Version], MATCH(Character[[#This Row],[NameHelper]], CharacterDetailsImg[Name], 0)), "")</f>
        <v>1.1000000000000001</v>
      </c>
      <c r="H89" s="99">
        <v>90</v>
      </c>
      <c r="I89" s="100">
        <v>1</v>
      </c>
      <c r="J89" s="100">
        <v>10</v>
      </c>
      <c r="K89" s="101">
        <v>9</v>
      </c>
      <c r="M89" s="80">
        <v>81</v>
      </c>
      <c r="N89" s="80">
        <v>1</v>
      </c>
      <c r="O89" s="81">
        <v>9</v>
      </c>
      <c r="P89" s="82">
        <v>9</v>
      </c>
      <c r="R89" s="58">
        <f>IF(Character[[#This Row],[Level]]=0,0,IF(Target[[#This Row],[
Level]]&lt;Character[[#This Row],[Level]],0,LOOKUP(Character[[#This Row],[Level]],CharacterDatabase[Levels],CharacterDatabase[HerosWits])-LOOKUP(Target[[#This Row],[
Level]],CharacterDatabase[Levels],CharacterDatabase[HerosWits])))</f>
        <v>0</v>
      </c>
      <c r="T89" s="83" t="e" vm="7">
        <f>IF(Character[[#This Row],[Name]]="Traveler","",IFERROR(INDEX(ImgDatabase!$I:$I,MATCH(Character[[#This Row],[NameHelper]],ImgDatabase!$E:$E,0)),""))</f>
        <v>#VALUE!</v>
      </c>
      <c r="U89" s="66">
        <f>IF(Character[[#This Row],[Name]]="Traveler","",IF(Character[[#This Row],[Level]]=0,0,IF(Target[[#This Row],[
Level]]&lt;Character[[#This Row],[Level]],0,LOOKUP(Character[[#This Row],[Level]],CharacterDatabase[Levels],CharacterDatabase[Boss Mats])-LOOKUP(Target[[#This Row],[
Level]],CharacterDatabase[Levels],CharacterDatabase[Boss Mats]))))</f>
        <v>0</v>
      </c>
      <c r="W89" s="85" t="e" vm="338">
        <f>IF(Character[[#This Row],[Name]]="Traveler","",IFERROR(INDEX(ImgDatabase!$K:$K, MATCH(Character[[#This Row],[NameHelper]], ImgDatabase!$E:$E, 0)), ""))</f>
        <v>#VALUE!</v>
      </c>
      <c r="X89" s="68">
        <f>IF(
Character[[#This Row],[Name]]="Traveler",
"",
(IF(Character[[#This Row],[NA]]=0,0,IF(Target[[#This Row],[
NA]]&lt;Character[[#This Row],[NA]],0,LOOKUP(Character[[#This Row],[NA]],TalentDatabase[Talent Level],TalentDatabase[4* Books])-LOOKUP(Target[[#This Row],[
NA]],TalentDatabase[Talent Level],TalentDatabase[4* Books]))))+
(IF(Character[[#This Row],[Skill]]=0,0,IF(Target[[#This Row],[
Skill]]&lt;Character[[#This Row],[Skill]],0,LOOKUP(Character[[#This Row],[Skill]],TalentDatabase[Talent Level],TalentDatabase[4* Books])-LOOKUP(Target[[#This Row],[
Skill]],TalentDatabase[Talent Level],TalentDatabase[4* Books]))))+
(IF(Character[[#This Row],[Burst]]=0,0,IF(Target[[#This Row],[
Burst]]&lt;Character[[#This Row],[Burst]],0,LOOKUP(Character[[#This Row],[Burst]],TalentDatabase[Talent Level],TalentDatabase[4* Books])-LOOKUP(Target[[#This Row],[
Burst]],TalentDatabase[Talent Level],TalentDatabase[4* Books]))))
)</f>
        <v>0</v>
      </c>
      <c r="Y89" s="68">
        <f>IF(
Character[[#This Row],[Name]]="Traveler",
"",
(IF(Character[[#This Row],[NA]]=0,0,IF(Target[[#This Row],[
NA]]&lt;Character[[#This Row],[NA]],0,LOOKUP(Character[[#This Row],[NA]],TalentDatabase[Talent Level],TalentDatabase[3* Books])-LOOKUP(Target[[#This Row],[
NA]],TalentDatabase[Talent Level],TalentDatabase[3* Books]))))+
(IF(Character[[#This Row],[Skill]]=0,0,IF(Target[[#This Row],[
Skill]]&lt;Character[[#This Row],[Skill]],0,LOOKUP(Character[[#This Row],[Skill]],TalentDatabase[Talent Level],TalentDatabase[3* Books])-LOOKUP(Target[[#This Row],[
Skill]],TalentDatabase[Talent Level],TalentDatabase[3* Books]))))+
(IF(Character[[#This Row],[Burst]]=0,0,IF(Target[[#This Row],[
Burst]]&lt;Character[[#This Row],[Burst]],0,LOOKUP(Character[[#This Row],[Burst]],TalentDatabase[Talent Level],TalentDatabase[3* Books])-LOOKUP(Target[[#This Row],[
Burst]],TalentDatabase[Talent Level],TalentDatabase[3* Books]))))
)</f>
        <v>0</v>
      </c>
      <c r="Z89" s="69">
        <f>IF(
Character[[#This Row],[Name]]="Traveler",
"",
(IF(Character[[#This Row],[NA]]=0,0,IF(Target[[#This Row],[
NA]]&lt;Character[[#This Row],[NA]],0,LOOKUP(Character[[#This Row],[NA]],TalentDatabase[Talent Level],TalentDatabase[2* Books])-LOOKUP(Target[[#This Row],[
NA]],TalentDatabase[Talent Level],TalentDatabase[2* Books]))))+
(IF(Character[[#This Row],[Skill]]=0,0,IF(Target[[#This Row],[
Skill]]&lt;Character[[#This Row],[Skill]],0,LOOKUP(Character[[#This Row],[Skill]],TalentDatabase[Talent Level],TalentDatabase[2* Books])-LOOKUP(Target[[#This Row],[
Skill]],TalentDatabase[Talent Level],TalentDatabase[2* Books]))))+
(IF(Character[[#This Row],[Burst]]=0,0,IF(Target[[#This Row],[
Burst]]&lt;Character[[#This Row],[Burst]],0,LOOKUP(Character[[#This Row],[Burst]],TalentDatabase[Talent Level],TalentDatabase[2* Books])-LOOKUP(Target[[#This Row],[
Burst]],TalentDatabase[Talent Level],TalentDatabase[2* Books]))))
)</f>
        <v>0</v>
      </c>
      <c r="AB89" s="92" t="e" vm="8">
        <f>IFERROR(INDEX(ImgDatabase!$J:$J, MATCH(Character[[#This Row],[NameHelper]], ImgDatabase!$E:$E, 0)), "")</f>
        <v>#VALUE!</v>
      </c>
      <c r="AC89" s="69">
        <f>(IF(Character[[#This Row],[NA]]=0,0,IF(Target[[#This Row],[
NA]]&lt;Character[[#This Row],[NA]],0,LOOKUP(Character[[#This Row],[NA]],TalentDatabase[Talent Level],TalentDatabase[Weekly Boss Mats])-LOOKUP(Target[[#This Row],[
NA]],TalentDatabase[Talent Level],TalentDatabase[Weekly Boss Mats]))))
+(IF(Character[[#This Row],[Skill]]=0,0,IF(Target[[#This Row],[
Skill]]&lt;Character[[#This Row],[Skill]],0,LOOKUP(Character[[#This Row],[Skill]],TalentDatabase[Talent Level],TalentDatabase[Weekly Boss Mats])-LOOKUP(Target[[#This Row],[
Skill]],TalentDatabase[Talent Level],TalentDatabase[Weekly Boss Mats]))))
+(IF(Character[[#This Row],[Burst]]=0,0,IF(Target[[#This Row],[
Burst]]&lt;Character[[#This Row],[Burst]],0,LOOKUP(Character[[#This Row],[Burst]],TalentDatabase[Talent Level],TalentDatabase[Weekly Boss Mats])-LOOKUP(Target[[#This Row],[
Burst]],TalentDatabase[Talent Level],TalentDatabase[Weekly Boss Mats]))))</f>
        <v>0</v>
      </c>
      <c r="AE89" s="63" t="e" vm="213">
        <f>IFERROR(INDEX(ImgDatabase!$M:$M, MATCH(Character[[#This Row],[NameHelper]], ImgDatabase!$E:$E, 0)), "")</f>
        <v>#VALUE!</v>
      </c>
      <c r="AF89" s="66">
        <f>IF(Character[[#This Row],[Level]]=0,0,IF(Target[[#This Row],[
Level]]&lt;Character[[#This Row],[Level]],0,LOOKUP(Character[[#This Row],[Level]],CharacterDatabase[Levels],CharacterDatabase[LocalSpecialties])-LOOKUP(Target[[#This Row],[
Level]],CharacterDatabase[Levels],CharacterDatabase[LocalSpecialties])))</f>
        <v>0</v>
      </c>
      <c r="AH89" s="63" t="e" vm="12">
        <f>IFERROR(INDEX(ImgDatabase!$N:$N, MATCH(Character[[#This Row],[NameHelper]], ImgDatabase!$E:$E, 0)), "")</f>
        <v>#VALUE!</v>
      </c>
      <c r="AI89" s="64">
        <f>IF(Character[[#This Row],[Level]]=0,0,IF(Target[[#This Row],[
Level]]&lt;Character[[#This Row],[Level]],0,LOOKUP(Character[[#This Row],[Level]],CharacterDatabase[Levels],CharacterDatabase[Gemstone])-LOOKUP(Target[[#This Row],[
Level]],CharacterDatabase[Levels],CharacterDatabase[Gemstone])))</f>
        <v>0</v>
      </c>
      <c r="AJ89" s="64">
        <f>IF(Character[[#This Row],[Level]]=0,0,IF(Target[[#This Row],[
Level]]&lt;Character[[#This Row],[Level]],0,LOOKUP(Character[[#This Row],[Level]],CharacterDatabase[Levels],CharacterDatabase[Chunk])-LOOKUP(Target[[#This Row],[
Level]],CharacterDatabase[Levels],CharacterDatabase[Chunk])))</f>
        <v>0</v>
      </c>
      <c r="AK89" s="64">
        <f>IF(Character[[#This Row],[Level]]=0,0,IF(Target[[#This Row],[
Level]]&lt;Character[[#This Row],[Level]],0,LOOKUP(Character[[#This Row],[Level]],CharacterDatabase[Levels],CharacterDatabase[Fragment])-LOOKUP(Target[[#This Row],[
Level]],CharacterDatabase[Levels],CharacterDatabase[Fragment])))</f>
        <v>0</v>
      </c>
      <c r="AL89" s="64">
        <f>IF(Character[[#This Row],[Level]]=0,0,IF(Target[[#This Row],[
Level]]&lt;Character[[#This Row],[Level]],0,LOOKUP(Character[[#This Row],[Level]],CharacterDatabase[Levels],CharacterDatabase[Silver])-LOOKUP(Target[[#This Row],[
Level]],CharacterDatabase[Levels],CharacterDatabase[Silver])))</f>
        <v>0</v>
      </c>
      <c r="AN89" s="64" t="e" vm="462">
        <f>IFERROR(INDEX(ImgDatabase!$L:$L, MATCH(Character[[#This Row],[NameHelper]], ImgDatabase!$E:$E, 0)), "")</f>
        <v>#VALUE!</v>
      </c>
      <c r="AO89" s="65">
        <f>IF(Character[[#This Row],[Level]]=0,0,IF(Target[[#This Row],[
Level]]&lt;Character[[#This Row],[Level]],0,LOOKUP(Character[[#This Row],[Level]],CharacterDatabase[Levels],CharacterDatabase[3* Mats])-LOOKUP(Target[[#This Row],[
Level]],CharacterDatabase[Levels],CharacterDatabase[3* Mats])))</f>
        <v>0</v>
      </c>
      <c r="AP89" s="64">
        <f>IF(Character[[#This Row],[Level]]=0,0,IF(Target[[#This Row],[
Level]]&lt;Character[[#This Row],[Level]],0,LOOKUP(Character[[#This Row],[Level]],CharacterDatabase[Levels],CharacterDatabase[2* Mats])-LOOKUP(Target[[#This Row],[
Level]],CharacterDatabase[Levels],CharacterDatabase[2* Mats])))</f>
        <v>0</v>
      </c>
      <c r="AQ89" s="66">
        <f>IF(Character[[#This Row],[Level]]=0,0,IF(Target[[#This Row],[
Level]]&lt;Character[[#This Row],[Level]],0,LOOKUP(Character[[#This Row],[Level]],CharacterDatabase[Levels],CharacterDatabase[1* Mats])-LOOKUP(Target[[#This Row],[
Level]],CharacterDatabase[Levels],CharacterDatabase[1* Mats])))</f>
        <v>0</v>
      </c>
      <c r="AR89" s="67">
        <f>(IF(Character[[#This Row],[NA]]=0,0,IF(Target[[#This Row],[
NA]]&lt;Character[[#This Row],[NA]],0,LOOKUP(Character[[#This Row],[NA]],TalentDatabase[Talent Level],TalentDatabase[3* Mats])-LOOKUP(Target[[#This Row],[
NA]],TalentDatabase[Talent Level],TalentDatabase[3* Mats]))))
+(IF(Character[[#This Row],[Skill]]=0,0,IF(Target[[#This Row],[
Skill]]&lt;Character[[#This Row],[Skill]],0,LOOKUP(Character[[#This Row],[Skill]],TalentDatabase[Talent Level],TalentDatabase[3* Mats])-LOOKUP(Target[[#This Row],[
Skill]],TalentDatabase[Talent Level],TalentDatabase[3* Mats]))))
+(IF(Character[[#This Row],[Burst]]=0,0,IF(Target[[#This Row],[
Burst]]&lt;Character[[#This Row],[Burst]],0,LOOKUP(Character[[#This Row],[Burst]],TalentDatabase[Talent Level],TalentDatabase[3* Mats])-LOOKUP(Target[[#This Row],[
Burst]],TalentDatabase[Talent Level],TalentDatabase[3* Mats]))))</f>
        <v>0</v>
      </c>
      <c r="AS89" s="68">
        <f>(IF(Character[[#This Row],[NA]]=0,0,IF(Target[[#This Row],[
NA]]&lt;Character[[#This Row],[NA]],0,LOOKUP(Character[[#This Row],[NA]],TalentDatabase[Talent Level],TalentDatabase[2* Mats])-LOOKUP(Target[[#This Row],[
NA]],TalentDatabase[Talent Level],TalentDatabase[2* Mats]))))
+(IF(Character[[#This Row],[Skill]]=0,0,IF(Target[[#This Row],[
Skill]]&lt;Character[[#This Row],[Skill]],0,LOOKUP(Character[[#This Row],[Skill]],TalentDatabase[Talent Level],TalentDatabase[2* Mats])-LOOKUP(Target[[#This Row],[
Skill]],TalentDatabase[Talent Level],TalentDatabase[2* Mats]))))
+(IF(Character[[#This Row],[Burst]]=0,0,IF(Target[[#This Row],[
Burst]]&lt;Character[[#This Row],[Burst]],0,LOOKUP(Character[[#This Row],[Burst]],TalentDatabase[Talent Level],TalentDatabase[2* Mats])-LOOKUP(Target[[#This Row],[
Burst]],TalentDatabase[Talent Level],TalentDatabase[2* Mats]))))</f>
        <v>0</v>
      </c>
      <c r="AT89" s="69">
        <f>(IF(Character[[#This Row],[NA]]=0,0,IF(Target[[#This Row],[
NA]]&lt;Character[[#This Row],[NA]],0,LOOKUP(Character[[#This Row],[NA]],TalentDatabase[Talent Level],TalentDatabase[1* Mats])-LOOKUP(Target[[#This Row],[
NA]],TalentDatabase[Talent Level],TalentDatabase[1* Mats]))))
+(IF(Character[[#This Row],[Skill]]=0,0,IF(Target[[#This Row],[
Skill]]&lt;Character[[#This Row],[Skill]],0,LOOKUP(Character[[#This Row],[Skill]],TalentDatabase[Talent Level],TalentDatabase[1* Mats])-LOOKUP(Target[[#This Row],[
Skill]],TalentDatabase[Talent Level],TalentDatabase[1* Mats]))))
+(IF(Character[[#This Row],[Burst]]=0,0,IF(Target[[#This Row],[
Burst]]&lt;Character[[#This Row],[Burst]],0,LOOKUP(Character[[#This Row],[Burst]],TalentDatabase[Talent Level],TalentDatabase[1* Mats])-LOOKUP(Target[[#This Row],[
Burst]],TalentDatabase[Talent Level],TalentDatabase[1* Mats]))))</f>
        <v>0</v>
      </c>
      <c r="AU89" s="70">
        <f t="shared" si="6"/>
        <v>0</v>
      </c>
      <c r="AV89" s="71">
        <f t="shared" si="7"/>
        <v>0</v>
      </c>
      <c r="AW89" s="72">
        <f t="shared" si="8"/>
        <v>0</v>
      </c>
      <c r="AY89" s="132">
        <f>IF(Character[[#This Row],[Level]]=0,0,IF(Target[[#This Row],[
Level]]&lt;Character[[#This Row],[Level]],0,LOOKUP(Character[[#This Row],[Level]],CharacterDatabase[Levels],CharacterDatabase[Mora])-LOOKUP(Target[[#This Row],[
Level]],CharacterDatabase[Levels],CharacterDatabase[Mora])))</f>
        <v>0</v>
      </c>
      <c r="AZ89" s="133">
        <f>IF(Character[[#This Row],[NA]]=0,0,IF(Target[[#This Row],[
NA]]&lt;Character[[#This Row],[NA]],0,LOOKUP(Character[[#This Row],[NA]],TalentDatabase[Talent Level],TalentDatabase[Mora])-LOOKUP(Target[[#This Row],[
NA]],TalentDatabase[Talent Level],TalentDatabase[Mora])))</f>
        <v>0</v>
      </c>
      <c r="BA89" s="133">
        <f>IF(Character[[#This Row],[Skill]]=0,0,IF(Target[[#This Row],[
Skill]]&lt;Character[[#This Row],[Skill]],0,LOOKUP(Character[[#This Row],[Skill]],TalentDatabase[Talent Level],TalentDatabase[Mora])-LOOKUP(Target[[#This Row],[
Skill]],TalentDatabase[Talent Level],TalentDatabase[Mora])))</f>
        <v>0</v>
      </c>
      <c r="BB89" s="133">
        <f>IF(Character[[#This Row],[Burst]]=0,0,IF(Target[[#This Row],[
Burst]]&lt;Character[[#This Row],[Burst]],0,LOOKUP(Character[[#This Row],[Burst]],TalentDatabase[Talent Level],TalentDatabase[Mora])-LOOKUP(Target[[#This Row],[
Burst]],TalentDatabase[Talent Level],TalentDatabase[Mora])))</f>
        <v>0</v>
      </c>
      <c r="BC89" s="134">
        <f>SUM(Table40[[#This Row],[Ascension
Cost]:[Talent Cost
(Burst)]])</f>
        <v>0</v>
      </c>
      <c r="BE89" s="73">
        <f>IF(Character[[#This Row],[NA]]=0,0,IF(Target[[#This Row],[
NA]]&lt;Character[[#This Row],[NA]],0,LOOKUP(Character[[#This Row],[NA]],TalentDatabase[Talent Level],TalentDatabase[Crown])-LOOKUP(Target[[#This Row],[
NA]],TalentDatabase[Talent Level],TalentDatabase[Crown])))</f>
        <v>0</v>
      </c>
      <c r="BF89" s="74">
        <f>IF(Character[[#This Row],[Skill]]=0,0,IF(Target[[#This Row],[
Skill]]&lt;Character[[#This Row],[Skill]],0,LOOKUP(Character[[#This Row],[Skill]],TalentDatabase[Talent Level],TalentDatabase[Crown])-LOOKUP(Target[[#This Row],[
Skill]],TalentDatabase[Talent Level],TalentDatabase[Crown])))</f>
        <v>0</v>
      </c>
      <c r="BG89" s="75">
        <f>IF(Character[[#This Row],[Burst]]=0,0,IF(Target[[#This Row],[
Burst]]&lt;Character[[#This Row],[Burst]],0,LOOKUP(Character[[#This Row],[Burst]],TalentDatabase[Talent Level],TalentDatabase[Crown])-LOOKUP(Target[[#This Row],[
Burst]],TalentDatabase[Talent Level],TalentDatabase[Crown])))</f>
        <v>0</v>
      </c>
      <c r="BH89" s="75">
        <f>SUM(Table53[[#This Row],[NA]:[Burst]])</f>
        <v>0</v>
      </c>
    </row>
    <row r="90" spans="1:60" ht="30" customHeight="1" thickBot="1" x14ac:dyDescent="0.3">
      <c r="A90" s="53"/>
      <c r="B90" s="53"/>
      <c r="C90" s="53"/>
      <c r="R90" s="58">
        <f>SUBTOTAL(109,Table36[Hero''s Wits])</f>
        <v>6677</v>
      </c>
      <c r="T90" s="102"/>
      <c r="U90" s="103">
        <f>SUBTOTAL(109,WorldBoss[Need to Farm])</f>
        <v>1400</v>
      </c>
      <c r="W90" s="102"/>
      <c r="X90" s="104">
        <f>SUBTOTAL(109,TalentBook[4* Book])</f>
        <v>1810</v>
      </c>
      <c r="Y90" s="104">
        <f>SUBTOTAL(109,TalentBook[3* Book])</f>
        <v>1428</v>
      </c>
      <c r="Z90" s="105">
        <f>SUBTOTAL(109,TalentBook[2* Book])</f>
        <v>186</v>
      </c>
      <c r="AB90" s="102"/>
      <c r="AC90" s="105">
        <f>SUBTOTAL(109,WeeklyBoss[Need to Farm])</f>
        <v>367</v>
      </c>
      <c r="AE90" s="102"/>
      <c r="AF90" s="105">
        <f>SUBTOTAL(109,LocalSpecialties3[Need to Farm])</f>
        <v>4910</v>
      </c>
      <c r="AH90" s="102"/>
      <c r="AI90" s="106">
        <f>SUBTOTAL(109,Gemstone[Gemstone])</f>
        <v>204</v>
      </c>
      <c r="AJ90" s="106">
        <f>SUBTOTAL(109,Gemstone[Chunk])</f>
        <v>264</v>
      </c>
      <c r="AK90" s="106">
        <f>SUBTOTAL(109,Gemstone[Fragment])</f>
        <v>204</v>
      </c>
      <c r="AL90" s="103">
        <f>SUBTOTAL(109,Gemstone[Silver])</f>
        <v>0</v>
      </c>
      <c r="AN90" s="107"/>
      <c r="AO90" s="107">
        <f>SUBTOTAL(109,MonsterMaterials[3* (Asc)])</f>
        <v>1176</v>
      </c>
      <c r="AP90" s="106">
        <f>SUBTOTAL(109,MonsterMaterials[2* (Asc)])</f>
        <v>780</v>
      </c>
      <c r="AQ90" s="103">
        <f>SUBTOTAL(109,MonsterMaterials[1* (Asc)])</f>
        <v>330</v>
      </c>
      <c r="AR90" s="108">
        <f>SUBTOTAL(109,MonsterMaterials[3* (Tal)])</f>
        <v>1742</v>
      </c>
      <c r="AS90" s="104">
        <f>SUBTOTAL(109,MonsterMaterials[2* (Tal)])</f>
        <v>1698</v>
      </c>
      <c r="AT90" s="105">
        <f>SUBTOTAL(109,MonsterMaterials[1* (Tal)])</f>
        <v>420</v>
      </c>
      <c r="AU90" s="109">
        <f>SUBTOTAL(109,MonsterMaterials[3* Mats])</f>
        <v>2918</v>
      </c>
      <c r="AV90" s="109">
        <f>SUBTOTAL(109,MonsterMaterials[2* Mats])</f>
        <v>2478</v>
      </c>
      <c r="AW90" s="110">
        <f>SUBTOTAL(109,MonsterMaterials[1* Mats])</f>
        <v>750</v>
      </c>
      <c r="AY90" s="135">
        <f>SUBTOTAL(109,Table40[Ascension
Cost])</f>
        <v>38208405</v>
      </c>
      <c r="AZ90" s="136">
        <f>SUBTOTAL(109,Table40[Talent Cost
(NA)])</f>
        <v>0</v>
      </c>
      <c r="BA90" s="136">
        <f>SUBTOTAL(109,Table40[Talent Cost
(Skill)])</f>
        <v>42760000</v>
      </c>
      <c r="BB90" s="136">
        <f>SUBTOTAL(109,Table40[Talent Cost
(Burst)])</f>
        <v>43190000</v>
      </c>
      <c r="BC90" s="137">
        <f>SUBTOTAL(109,Table40[Total
Cost])</f>
        <v>124158405</v>
      </c>
      <c r="BE90" s="111">
        <f>SUBTOTAL(109,Table53[NA])</f>
        <v>0</v>
      </c>
      <c r="BF90" s="112">
        <f>SUBTOTAL(109,Table53[Skill])</f>
        <v>0</v>
      </c>
      <c r="BG90" s="113">
        <f>SUBTOTAL(109,Table53[Burst])</f>
        <v>0</v>
      </c>
      <c r="BH90" s="113">
        <f>SUBTOTAL(109,Table53[Total])</f>
        <v>0</v>
      </c>
    </row>
    <row r="91" spans="1:60" ht="30" customHeight="1" x14ac:dyDescent="0.25">
      <c r="A91" s="53"/>
      <c r="B91" s="53"/>
      <c r="C91" s="53"/>
      <c r="AY91" s="114"/>
      <c r="AZ91" s="114"/>
      <c r="BA91" s="114"/>
      <c r="BB91" s="114"/>
      <c r="BC91" s="114"/>
    </row>
    <row r="92" spans="1:60" x14ac:dyDescent="0.25">
      <c r="A92" s="53"/>
      <c r="B92" s="53"/>
      <c r="C92" s="53"/>
    </row>
    <row r="93" spans="1:60" x14ac:dyDescent="0.25">
      <c r="A93" s="53"/>
      <c r="B93" s="53"/>
      <c r="C93" s="53"/>
    </row>
    <row r="94" spans="1:60" x14ac:dyDescent="0.25">
      <c r="A94" s="53"/>
      <c r="B94" s="53"/>
      <c r="C94" s="53"/>
    </row>
    <row r="95" spans="1:60" x14ac:dyDescent="0.25">
      <c r="A95" s="53"/>
      <c r="B95" s="53"/>
      <c r="C95" s="53"/>
    </row>
    <row r="96" spans="1:60" x14ac:dyDescent="0.25">
      <c r="A96" s="53"/>
      <c r="B96" s="53"/>
      <c r="C96" s="53"/>
    </row>
    <row r="97" spans="1:3" x14ac:dyDescent="0.25">
      <c r="A97" s="53"/>
      <c r="B97" s="53"/>
      <c r="C97" s="53"/>
    </row>
    <row r="98" spans="1:3" x14ac:dyDescent="0.25">
      <c r="A98" s="53"/>
      <c r="B98" s="53"/>
      <c r="C98" s="53"/>
    </row>
    <row r="99" spans="1:3" x14ac:dyDescent="0.25">
      <c r="A99" s="53"/>
      <c r="B99" s="53"/>
      <c r="C99" s="53"/>
    </row>
    <row r="100" spans="1:3" x14ac:dyDescent="0.25">
      <c r="A100" s="53"/>
      <c r="B100" s="53"/>
      <c r="C100" s="53"/>
    </row>
    <row r="101" spans="1:3" x14ac:dyDescent="0.25">
      <c r="A101" s="53"/>
      <c r="B101" s="53"/>
      <c r="C101" s="53"/>
    </row>
    <row r="102" spans="1:3" x14ac:dyDescent="0.25">
      <c r="A102" s="53"/>
      <c r="B102" s="53"/>
      <c r="C102" s="53"/>
    </row>
    <row r="103" spans="1:3" x14ac:dyDescent="0.25">
      <c r="A103" s="53"/>
      <c r="B103" s="53"/>
      <c r="C103" s="53"/>
    </row>
    <row r="104" spans="1:3" x14ac:dyDescent="0.25">
      <c r="A104" s="53"/>
      <c r="B104" s="53"/>
      <c r="C104" s="53"/>
    </row>
    <row r="105" spans="1:3" x14ac:dyDescent="0.25">
      <c r="A105" s="53"/>
      <c r="B105" s="53"/>
      <c r="C105" s="53"/>
    </row>
    <row r="106" spans="1:3" x14ac:dyDescent="0.25">
      <c r="A106" s="53"/>
      <c r="B106" s="53"/>
      <c r="C106" s="53"/>
    </row>
    <row r="107" spans="1:3" x14ac:dyDescent="0.25">
      <c r="A107" s="53"/>
      <c r="B107" s="53"/>
      <c r="C107" s="53"/>
    </row>
    <row r="108" spans="1:3" x14ac:dyDescent="0.25">
      <c r="A108" s="53"/>
      <c r="B108" s="53"/>
      <c r="C108" s="53"/>
    </row>
    <row r="109" spans="1:3" x14ac:dyDescent="0.25">
      <c r="A109" s="53"/>
      <c r="B109" s="53"/>
      <c r="C109" s="53"/>
    </row>
    <row r="110" spans="1:3" x14ac:dyDescent="0.25">
      <c r="A110" s="53"/>
      <c r="B110" s="53"/>
      <c r="C110" s="53"/>
    </row>
    <row r="111" spans="1:3" x14ac:dyDescent="0.25">
      <c r="A111" s="53"/>
      <c r="B111" s="53"/>
      <c r="C111" s="53"/>
    </row>
  </sheetData>
  <sheetProtection sort="0" autoFilter="0"/>
  <protectedRanges>
    <protectedRange sqref="M3:P89" name="Level and Talent"/>
    <protectedRange sqref="S3:S91 V3:V91 Q3:Q91 AA3:AA91 AD3:AD91 AG3:AG91 AM3:AM91 AX3:AX91 BD3:BD91 L3:L91 H3:K89" name="Level and Talent_2"/>
  </protectedRanges>
  <mergeCells count="13">
    <mergeCell ref="AE1:AF1"/>
    <mergeCell ref="A1:G1"/>
    <mergeCell ref="AB1:AC1"/>
    <mergeCell ref="H1:K1"/>
    <mergeCell ref="M1:P1"/>
    <mergeCell ref="T1:U1"/>
    <mergeCell ref="W1:Z1"/>
    <mergeCell ref="BE1:BF1"/>
    <mergeCell ref="BG1:BH1"/>
    <mergeCell ref="AY1:BA1"/>
    <mergeCell ref="AU1:AW1"/>
    <mergeCell ref="AH1:AL1"/>
    <mergeCell ref="AN1:AT1"/>
  </mergeCells>
  <conditionalFormatting sqref="T135:U1048576">
    <cfRule type="colorScale" priority="5">
      <colorScale>
        <cfvo type="min"/>
        <cfvo type="max"/>
        <color rgb="FF63BE7B"/>
        <color rgb="FFFCFCFF"/>
      </colorScale>
    </cfRule>
  </conditionalFormatting>
  <conditionalFormatting sqref="T3:T89">
    <cfRule type="colorScale" priority="6">
      <colorScale>
        <cfvo type="min"/>
        <cfvo type="max"/>
        <color rgb="FF63BE7B"/>
        <color rgb="FFFCFCFF"/>
      </colorScale>
    </cfRule>
  </conditionalFormatting>
  <dataValidations count="2">
    <dataValidation type="whole" allowBlank="1" showInputMessage="1" showErrorMessage="1" errorTitle="Numeric Values Only!" error="Please put numeric values from 0 to 10!" sqref="I3:K89" xr:uid="{D85C7A73-7046-47AB-A07C-1C8986397BA6}">
      <formula1>0</formula1>
      <formula2>10</formula2>
    </dataValidation>
    <dataValidation type="whole" allowBlank="1" showInputMessage="1" showErrorMessage="1" errorTitle="Numeric Values Only!" error="Please put numeric values from 0 to 90." sqref="H3:H89" xr:uid="{8C3D750C-46E3-4B51-8E31-FAD512864674}">
      <formula1>0</formula1>
      <formula2>90</formula2>
    </dataValidation>
  </dataValidations>
  <pageMargins left="0.7" right="0.7" top="0.75" bottom="0.75" header="0.3" footer="0.3"/>
  <pageSetup orientation="portrait" r:id="rId1"/>
  <drawing r:id="rId2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61221-EEEE-4308-995F-040E07A72874}">
  <sheetPr codeName="Sheet3">
    <tabColor rgb="FFFFC000"/>
  </sheetPr>
  <dimension ref="A1:G34"/>
  <sheetViews>
    <sheetView zoomScale="85" zoomScaleNormal="85" workbookViewId="0">
      <selection activeCell="F11" sqref="F11"/>
    </sheetView>
  </sheetViews>
  <sheetFormatPr defaultColWidth="9.140625" defaultRowHeight="15.75" x14ac:dyDescent="0.25"/>
  <cols>
    <col min="1" max="1" width="9.5703125" style="36" customWidth="1"/>
    <col min="2" max="2" width="8.42578125" style="36" customWidth="1"/>
    <col min="3" max="3" width="28.5703125" style="36" hidden="1" customWidth="1"/>
    <col min="4" max="4" width="12.42578125" style="36" bestFit="1" customWidth="1"/>
    <col min="5" max="5" width="15.42578125" style="36" customWidth="1"/>
    <col min="6" max="6" width="16" style="36" customWidth="1"/>
    <col min="7" max="7" width="17.42578125" style="36" customWidth="1"/>
    <col min="8" max="16384" width="9.140625" style="36"/>
  </cols>
  <sheetData>
    <row r="1" spans="1:7" ht="36" thickBot="1" x14ac:dyDescent="0.3">
      <c r="A1" s="206" t="s">
        <v>0</v>
      </c>
      <c r="B1" s="207"/>
      <c r="C1" s="207"/>
      <c r="D1" s="207"/>
      <c r="E1" s="207"/>
      <c r="F1" s="207"/>
      <c r="G1" s="208"/>
    </row>
    <row r="2" spans="1:7" ht="32.25" thickBot="1" x14ac:dyDescent="0.3">
      <c r="A2" s="141" t="s">
        <v>670</v>
      </c>
      <c r="B2" s="142" t="s">
        <v>78</v>
      </c>
      <c r="C2" s="142" t="s">
        <v>24</v>
      </c>
      <c r="D2" s="142" t="s">
        <v>707</v>
      </c>
      <c r="E2" s="142" t="s">
        <v>708</v>
      </c>
      <c r="F2" s="142" t="s">
        <v>709</v>
      </c>
      <c r="G2" s="143" t="s">
        <v>710</v>
      </c>
    </row>
    <row r="3" spans="1:7" ht="30" customHeight="1" x14ac:dyDescent="0.25">
      <c r="A3" s="144">
        <f>SUBTOTAL(3,$C$3:World_Boss[[#This Row],[Name]])</f>
        <v>1</v>
      </c>
      <c r="B3" s="36" t="e" vm="132">
        <f>IFERROR(INDEX(WorldBossImg[Icon], MATCH(World_Boss[[#This Row],[Name]], WorldBossImg[Name], 0)), "")</f>
        <v>#VALUE!</v>
      </c>
      <c r="C3" s="36" t="s">
        <v>83</v>
      </c>
      <c r="D3" s="145">
        <v>1</v>
      </c>
      <c r="E3" s="146">
        <f>SUMIF(WorldBoss[Material],World_Boss[[#This Row],[Boss Name]],WorldBoss[Need to Farm])</f>
        <v>46</v>
      </c>
      <c r="F3" s="147">
        <f>IFERROR(INDEX(WorldBossInv[Quantity], MATCH(World_Boss[[#This Row],[Boss Name]], WorldBossInv[Icon], 0)), "")</f>
        <v>55</v>
      </c>
      <c r="G3" s="148">
        <f t="shared" ref="G3:G33" si="0">E3-F3</f>
        <v>-9</v>
      </c>
    </row>
    <row r="4" spans="1:7" ht="30" customHeight="1" x14ac:dyDescent="0.25">
      <c r="A4" s="144">
        <f>SUBTOTAL(3,$C$3:World_Boss[[#This Row],[Name]])</f>
        <v>2</v>
      </c>
      <c r="B4" s="36" t="e" vm="166">
        <f>IFERROR(INDEX(WorldBossImg[Icon], MATCH(World_Boss[[#This Row],[Name]], WorldBossImg[Name], 0)), "")</f>
        <v>#VALUE!</v>
      </c>
      <c r="C4" s="36" t="s">
        <v>97</v>
      </c>
      <c r="D4" s="145">
        <v>1</v>
      </c>
      <c r="E4" s="144">
        <f>SUMIF(WorldBoss[Material],World_Boss[[#This Row],[Boss Name]],WorldBoss[Need to Farm])</f>
        <v>202</v>
      </c>
      <c r="F4" s="36">
        <f>IFERROR(INDEX(WorldBossInv[Quantity], MATCH(World_Boss[[#This Row],[Boss Name]], WorldBossInv[Icon], 0)), "")</f>
        <v>204</v>
      </c>
      <c r="G4" s="149">
        <f t="shared" si="0"/>
        <v>-2</v>
      </c>
    </row>
    <row r="5" spans="1:7" ht="30" customHeight="1" x14ac:dyDescent="0.25">
      <c r="A5" s="144">
        <f>SUBTOTAL(3,$C$3:World_Boss[[#This Row],[Name]])</f>
        <v>3</v>
      </c>
      <c r="B5" s="36" t="e" vm="210">
        <f>IFERROR(INDEX(WorldBossImg[Icon], MATCH(World_Boss[[#This Row],[Name]], WorldBossImg[Name], 0)), "")</f>
        <v>#VALUE!</v>
      </c>
      <c r="C5" s="36" t="s">
        <v>110</v>
      </c>
      <c r="D5" s="145">
        <v>1</v>
      </c>
      <c r="E5" s="144">
        <f>SUMIF(WorldBoss[Material],World_Boss[[#This Row],[Boss Name]],WorldBoss[Need to Farm])</f>
        <v>124</v>
      </c>
      <c r="F5" s="36">
        <f>IFERROR(INDEX(WorldBossInv[Quantity], MATCH(World_Boss[[#This Row],[Boss Name]], WorldBossInv[Icon], 0)), "")</f>
        <v>125</v>
      </c>
      <c r="G5" s="149">
        <f t="shared" si="0"/>
        <v>-1</v>
      </c>
    </row>
    <row r="6" spans="1:7" ht="30" customHeight="1" x14ac:dyDescent="0.25">
      <c r="A6" s="144">
        <f>SUBTOTAL(3,$C$3:World_Boss[[#This Row],[Name]])</f>
        <v>4</v>
      </c>
      <c r="B6" s="36" t="e" vm="7">
        <f>IFERROR(INDEX(WorldBossImg[Icon], MATCH(World_Boss[[#This Row],[Name]], WorldBossImg[Name], 0)), "")</f>
        <v>#VALUE!</v>
      </c>
      <c r="C6" s="36" t="s">
        <v>123</v>
      </c>
      <c r="D6" s="145">
        <v>1</v>
      </c>
      <c r="E6" s="144">
        <f>SUMIF(WorldBoss[Material],World_Boss[[#This Row],[Boss Name]],WorldBoss[Need to Farm])</f>
        <v>0</v>
      </c>
      <c r="F6" s="36">
        <f>IFERROR(INDEX(WorldBossInv[Quantity], MATCH(World_Boss[[#This Row],[Boss Name]], WorldBossInv[Icon], 0)), "")</f>
        <v>0</v>
      </c>
      <c r="G6" s="149">
        <f t="shared" si="0"/>
        <v>0</v>
      </c>
    </row>
    <row r="7" spans="1:7" ht="30" customHeight="1" x14ac:dyDescent="0.25">
      <c r="A7" s="144">
        <f>SUBTOTAL(3,$C$3:World_Boss[[#This Row],[Name]])</f>
        <v>5</v>
      </c>
      <c r="B7" s="36" t="e" vm="337">
        <f>IFERROR(INDEX(WorldBossImg[Icon], MATCH(World_Boss[[#This Row],[Name]], WorldBossImg[Name], 0)), "")</f>
        <v>#VALUE!</v>
      </c>
      <c r="C7" s="36" t="s">
        <v>137</v>
      </c>
      <c r="D7" s="145">
        <v>1</v>
      </c>
      <c r="E7" s="144">
        <f>SUMIF(WorldBoss[Material],World_Boss[[#This Row],[Boss Name]],WorldBoss[Need to Farm])</f>
        <v>0</v>
      </c>
      <c r="F7" s="36">
        <f>IFERROR(INDEX(WorldBossInv[Quantity], MATCH(World_Boss[[#This Row],[Boss Name]], WorldBossInv[Icon], 0)), "")</f>
        <v>1</v>
      </c>
      <c r="G7" s="149">
        <f t="shared" si="0"/>
        <v>-1</v>
      </c>
    </row>
    <row r="8" spans="1:7" ht="30" customHeight="1" x14ac:dyDescent="0.25">
      <c r="A8" s="144">
        <f>SUBTOTAL(3,$C$3:World_Boss[[#This Row],[Name]])</f>
        <v>6</v>
      </c>
      <c r="B8" s="36" t="e" vm="51">
        <f>IFERROR(INDEX(WorldBossImg[Icon], MATCH(World_Boss[[#This Row],[Name]], WorldBossImg[Name], 0)), "")</f>
        <v>#VALUE!</v>
      </c>
      <c r="C8" s="36" t="s">
        <v>149</v>
      </c>
      <c r="D8" s="145">
        <v>1</v>
      </c>
      <c r="E8" s="144">
        <f>SUMIF(WorldBoss[Material],World_Boss[[#This Row],[Boss Name]],WorldBoss[Need to Farm])</f>
        <v>132</v>
      </c>
      <c r="F8" s="36">
        <f>IFERROR(INDEX(WorldBossInv[Quantity], MATCH(World_Boss[[#This Row],[Boss Name]], WorldBossInv[Icon], 0)), "")</f>
        <v>135</v>
      </c>
      <c r="G8" s="149">
        <f t="shared" si="0"/>
        <v>-3</v>
      </c>
    </row>
    <row r="9" spans="1:7" ht="30" customHeight="1" x14ac:dyDescent="0.25">
      <c r="A9" s="144">
        <f>SUBTOTAL(3,$C$3:World_Boss[[#This Row],[Name]])</f>
        <v>7</v>
      </c>
      <c r="B9" s="36" t="e" vm="598">
        <f>IFERROR(INDEX(WorldBossImg[Icon], MATCH(World_Boss[[#This Row],[Name]], WorldBossImg[Name], 0)), "")</f>
        <v>#VALUE!</v>
      </c>
      <c r="C9" s="36" t="s">
        <v>160</v>
      </c>
      <c r="D9" s="145">
        <v>1.3</v>
      </c>
      <c r="E9" s="144">
        <f>SUMIF(WorldBoss[Material],World_Boss[[#This Row],[Boss Name]],WorldBoss[Need to Farm])</f>
        <v>20</v>
      </c>
      <c r="F9" s="36">
        <f>IFERROR(INDEX(WorldBossInv[Quantity], MATCH(World_Boss[[#This Row],[Boss Name]], WorldBossInv[Icon], 0)), "")</f>
        <v>21</v>
      </c>
      <c r="G9" s="149">
        <f t="shared" si="0"/>
        <v>-1</v>
      </c>
    </row>
    <row r="10" spans="1:7" ht="30" customHeight="1" x14ac:dyDescent="0.25">
      <c r="A10" s="144">
        <f>SUBTOTAL(3,$C$3:World_Boss[[#This Row],[Name]])</f>
        <v>8</v>
      </c>
      <c r="B10" s="36" t="e" vm="349">
        <f>IFERROR(INDEX(WorldBossImg[Icon], MATCH(World_Boss[[#This Row],[Name]], WorldBossImg[Name], 0)), "")</f>
        <v>#VALUE!</v>
      </c>
      <c r="C10" s="36" t="s">
        <v>173</v>
      </c>
      <c r="D10" s="145">
        <v>1.5</v>
      </c>
      <c r="E10" s="144">
        <f>SUMIF(WorldBoss[Material],World_Boss[[#This Row],[Boss Name]],WorldBoss[Need to Farm])</f>
        <v>46</v>
      </c>
      <c r="F10" s="36">
        <f>IFERROR(INDEX(WorldBossInv[Quantity], MATCH(World_Boss[[#This Row],[Boss Name]], WorldBossInv[Icon], 0)), "")</f>
        <v>46</v>
      </c>
      <c r="G10" s="149">
        <f t="shared" si="0"/>
        <v>0</v>
      </c>
    </row>
    <row r="11" spans="1:7" ht="30" customHeight="1" x14ac:dyDescent="0.25">
      <c r="A11" s="144">
        <f>SUBTOTAL(3,$C$3:World_Boss[[#This Row],[Name]])</f>
        <v>9</v>
      </c>
      <c r="B11" s="36" t="e" vm="149">
        <f>IFERROR(INDEX(WorldBossImg[Icon], MATCH(World_Boss[[#This Row],[Name]], WorldBossImg[Name], 0)), "")</f>
        <v>#VALUE!</v>
      </c>
      <c r="C11" s="36" t="s">
        <v>182</v>
      </c>
      <c r="D11" s="145">
        <v>1.6</v>
      </c>
      <c r="E11" s="144">
        <f>SUMIF(WorldBoss[Material],World_Boss[[#This Row],[Boss Name]],WorldBoss[Need to Farm])</f>
        <v>46</v>
      </c>
      <c r="F11" s="36">
        <f>IFERROR(INDEX(WorldBossInv[Quantity], MATCH(World_Boss[[#This Row],[Boss Name]], WorldBossInv[Icon], 0)), "")</f>
        <v>46</v>
      </c>
      <c r="G11" s="149">
        <f t="shared" si="0"/>
        <v>0</v>
      </c>
    </row>
    <row r="12" spans="1:7" ht="30" customHeight="1" x14ac:dyDescent="0.25">
      <c r="A12" s="144">
        <f>SUBTOTAL(3,$C$3:World_Boss[[#This Row],[Name]])</f>
        <v>10</v>
      </c>
      <c r="B12" s="36" t="e" vm="181">
        <f>IFERROR(INDEX(WorldBossImg[Icon], MATCH(World_Boss[[#This Row],[Name]], WorldBossImg[Name], 0)), "")</f>
        <v>#VALUE!</v>
      </c>
      <c r="C12" s="36" t="s">
        <v>191</v>
      </c>
      <c r="D12" s="145">
        <v>2</v>
      </c>
      <c r="E12" s="144">
        <f>SUMIF(WorldBoss[Material],World_Boss[[#This Row],[Boss Name]],WorldBoss[Need to Farm])</f>
        <v>46</v>
      </c>
      <c r="F12" s="36">
        <f>IFERROR(INDEX(WorldBossInv[Quantity], MATCH(World_Boss[[#This Row],[Boss Name]], WorldBossInv[Icon], 0)), "")</f>
        <v>48</v>
      </c>
      <c r="G12" s="149">
        <f t="shared" si="0"/>
        <v>-2</v>
      </c>
    </row>
    <row r="13" spans="1:7" ht="30" customHeight="1" x14ac:dyDescent="0.25">
      <c r="A13" s="144">
        <f>SUBTOTAL(3,$C$3:World_Boss[[#This Row],[Name]])</f>
        <v>11</v>
      </c>
      <c r="B13" s="36" t="e" vm="473">
        <f>IFERROR(INDEX(WorldBossImg[Icon], MATCH(World_Boss[[#This Row],[Name]], WorldBossImg[Name], 0)), "")</f>
        <v>#VALUE!</v>
      </c>
      <c r="C13" s="36" t="s">
        <v>202</v>
      </c>
      <c r="D13" s="145">
        <v>2</v>
      </c>
      <c r="E13" s="144">
        <f>SUMIF(WorldBoss[Material],World_Boss[[#This Row],[Boss Name]],WorldBoss[Need to Farm])</f>
        <v>46</v>
      </c>
      <c r="F13" s="36">
        <f>IFERROR(INDEX(WorldBossInv[Quantity], MATCH(World_Boss[[#This Row],[Boss Name]], WorldBossInv[Icon], 0)), "")</f>
        <v>46</v>
      </c>
      <c r="G13" s="149">
        <f t="shared" si="0"/>
        <v>0</v>
      </c>
    </row>
    <row r="14" spans="1:7" ht="30" customHeight="1" x14ac:dyDescent="0.25">
      <c r="A14" s="144">
        <f>SUBTOTAL(3,$C$3:World_Boss[[#This Row],[Name]])</f>
        <v>12</v>
      </c>
      <c r="B14" s="36" t="e" vm="197">
        <f>IFERROR(INDEX(WorldBossImg[Icon], MATCH(World_Boss[[#This Row],[Name]], WorldBossImg[Name], 0)), "")</f>
        <v>#VALUE!</v>
      </c>
      <c r="C14" s="36" t="s">
        <v>211</v>
      </c>
      <c r="D14" s="145">
        <v>2.1</v>
      </c>
      <c r="E14" s="144">
        <f>SUMIF(WorldBoss[Material],World_Boss[[#This Row],[Boss Name]],WorldBoss[Need to Farm])</f>
        <v>0</v>
      </c>
      <c r="F14" s="36">
        <f>IFERROR(INDEX(WorldBossInv[Quantity], MATCH(World_Boss[[#This Row],[Boss Name]], WorldBossInv[Icon], 0)), "")</f>
        <v>2</v>
      </c>
      <c r="G14" s="149">
        <f t="shared" si="0"/>
        <v>-2</v>
      </c>
    </row>
    <row r="15" spans="1:7" ht="30" customHeight="1" x14ac:dyDescent="0.25">
      <c r="A15" s="144">
        <f>SUBTOTAL(3,$C$3:World_Boss[[#This Row],[Name]])</f>
        <v>13</v>
      </c>
      <c r="B15" s="36" t="e" vm="424">
        <f>IFERROR(INDEX(WorldBossImg[Icon], MATCH(World_Boss[[#This Row],[Name]], WorldBossImg[Name], 0)), "")</f>
        <v>#VALUE!</v>
      </c>
      <c r="C15" s="36" t="s">
        <v>220</v>
      </c>
      <c r="D15" s="145">
        <v>2.1</v>
      </c>
      <c r="E15" s="144">
        <f>SUMIF(WorldBoss[Material],World_Boss[[#This Row],[Boss Name]],WorldBoss[Need to Farm])</f>
        <v>46</v>
      </c>
      <c r="F15" s="36">
        <f>IFERROR(INDEX(WorldBossInv[Quantity], MATCH(World_Boss[[#This Row],[Boss Name]], WorldBossInv[Icon], 0)), "")</f>
        <v>47</v>
      </c>
      <c r="G15" s="149">
        <f t="shared" si="0"/>
        <v>-1</v>
      </c>
    </row>
    <row r="16" spans="1:7" ht="30" customHeight="1" x14ac:dyDescent="0.25">
      <c r="A16" s="144">
        <f>SUBTOTAL(3,$C$3:World_Boss[[#This Row],[Name]])</f>
        <v>14</v>
      </c>
      <c r="B16" s="36" t="e" vm="480">
        <f>IFERROR(INDEX(WorldBossImg[Icon], MATCH(World_Boss[[#This Row],[Name]], WorldBossImg[Name], 0)), "")</f>
        <v>#VALUE!</v>
      </c>
      <c r="C16" s="36" t="s">
        <v>231</v>
      </c>
      <c r="D16" s="145">
        <v>2.2999999999999998</v>
      </c>
      <c r="E16" s="144">
        <f>SUMIF(WorldBoss[Material],World_Boss[[#This Row],[Boss Name]],WorldBoss[Need to Farm])</f>
        <v>46</v>
      </c>
      <c r="F16" s="36">
        <f>IFERROR(INDEX(WorldBossInv[Quantity], MATCH(World_Boss[[#This Row],[Boss Name]], WorldBossInv[Icon], 0)), "")</f>
        <v>47</v>
      </c>
      <c r="G16" s="149">
        <f t="shared" si="0"/>
        <v>-1</v>
      </c>
    </row>
    <row r="17" spans="1:7" ht="30" customHeight="1" x14ac:dyDescent="0.25">
      <c r="A17" s="144">
        <f>SUBTOTAL(3,$C$3:World_Boss[[#This Row],[Name]])</f>
        <v>15</v>
      </c>
      <c r="B17" s="36" t="e" vm="595">
        <f>IFERROR(INDEX(WorldBossImg[Icon], MATCH(World_Boss[[#This Row],[Name]], WorldBossImg[Name], 0)), "")</f>
        <v>#VALUE!</v>
      </c>
      <c r="C17" s="36" t="s">
        <v>240</v>
      </c>
      <c r="D17" s="145">
        <v>2.4</v>
      </c>
      <c r="E17" s="144">
        <f>SUMIF(WorldBoss[Material],World_Boss[[#This Row],[Boss Name]],WorldBoss[Need to Farm])</f>
        <v>0</v>
      </c>
      <c r="F17" s="36">
        <f>IFERROR(INDEX(WorldBossInv[Quantity], MATCH(World_Boss[[#This Row],[Boss Name]], WorldBossInv[Icon], 0)), "")</f>
        <v>2</v>
      </c>
      <c r="G17" s="149">
        <f t="shared" si="0"/>
        <v>-2</v>
      </c>
    </row>
    <row r="18" spans="1:7" ht="30" customHeight="1" x14ac:dyDescent="0.25">
      <c r="A18" s="144">
        <f>SUBTOTAL(3,$C$3:World_Boss[[#This Row],[Name]])</f>
        <v>16</v>
      </c>
      <c r="B18" s="36" t="e" vm="239">
        <f>IFERROR(INDEX(WorldBossImg[Icon], MATCH(World_Boss[[#This Row],[Name]], WorldBossImg[Name], 0)), "")</f>
        <v>#VALUE!</v>
      </c>
      <c r="C18" s="36" t="s">
        <v>249</v>
      </c>
      <c r="D18" s="145">
        <v>2.6</v>
      </c>
      <c r="E18" s="144">
        <f>SUMIF(WorldBoss[Material],World_Boss[[#This Row],[Boss Name]],WorldBoss[Need to Farm])</f>
        <v>40</v>
      </c>
      <c r="F18" s="36">
        <f>IFERROR(INDEX(WorldBossInv[Quantity], MATCH(World_Boss[[#This Row],[Boss Name]], WorldBossInv[Icon], 0)), "")</f>
        <v>41</v>
      </c>
      <c r="G18" s="149">
        <f t="shared" si="0"/>
        <v>-1</v>
      </c>
    </row>
    <row r="19" spans="1:7" ht="30" customHeight="1" x14ac:dyDescent="0.25">
      <c r="A19" s="144">
        <f>SUBTOTAL(3,$C$3:World_Boss[[#This Row],[Name]])</f>
        <v>17</v>
      </c>
      <c r="B19" s="36" t="e" vm="506">
        <f>IFERROR(INDEX(WorldBossImg[Icon], MATCH(World_Boss[[#This Row],[Name]], WorldBossImg[Name], 0)), "")</f>
        <v>#VALUE!</v>
      </c>
      <c r="C19" s="36" t="s">
        <v>260</v>
      </c>
      <c r="D19" s="145">
        <v>3</v>
      </c>
      <c r="E19" s="144">
        <f>SUMIF(WorldBoss[Material],World_Boss[[#This Row],[Boss Name]],WorldBoss[Need to Farm])</f>
        <v>40</v>
      </c>
      <c r="F19" s="36">
        <f>IFERROR(INDEX(WorldBossInv[Quantity], MATCH(World_Boss[[#This Row],[Boss Name]], WorldBossInv[Icon], 0)), "")</f>
        <v>42</v>
      </c>
      <c r="G19" s="149">
        <f t="shared" si="0"/>
        <v>-2</v>
      </c>
    </row>
    <row r="20" spans="1:7" ht="30" customHeight="1" x14ac:dyDescent="0.25">
      <c r="A20" s="144">
        <f>SUBTOTAL(3,$C$3:World_Boss[[#This Row],[Name]])</f>
        <v>18</v>
      </c>
      <c r="B20" s="36" t="e" vm="370">
        <f>IFERROR(INDEX(WorldBossImg[Icon], MATCH(World_Boss[[#This Row],[Name]], WorldBossImg[Name], 0)), "")</f>
        <v>#VALUE!</v>
      </c>
      <c r="C20" s="36" t="s">
        <v>269</v>
      </c>
      <c r="D20" s="145">
        <v>3</v>
      </c>
      <c r="E20" s="144">
        <f>SUMIF(WorldBoss[Material],World_Boss[[#This Row],[Boss Name]],WorldBoss[Need to Farm])</f>
        <v>92</v>
      </c>
      <c r="F20" s="36">
        <f>IFERROR(INDEX(WorldBossInv[Quantity], MATCH(World_Boss[[#This Row],[Boss Name]], WorldBossInv[Icon], 0)), "")</f>
        <v>93</v>
      </c>
      <c r="G20" s="149">
        <f t="shared" si="0"/>
        <v>-1</v>
      </c>
    </row>
    <row r="21" spans="1:7" ht="30" customHeight="1" x14ac:dyDescent="0.25">
      <c r="A21" s="144">
        <f>SUBTOTAL(3,$C$3:World_Boss[[#This Row],[Name]])</f>
        <v>19</v>
      </c>
      <c r="B21" s="36" t="e" vm="250">
        <f>IFERROR(INDEX(WorldBossImg[Icon], MATCH(World_Boss[[#This Row],[Name]], WorldBossImg[Name], 0)), "")</f>
        <v>#VALUE!</v>
      </c>
      <c r="C21" s="36" t="s">
        <v>278</v>
      </c>
      <c r="D21" s="145">
        <v>3.1</v>
      </c>
      <c r="E21" s="144">
        <f>SUMIF(WorldBoss[Material],World_Boss[[#This Row],[Boss Name]],WorldBoss[Need to Farm])</f>
        <v>0</v>
      </c>
      <c r="F21" s="36">
        <f>IFERROR(INDEX(WorldBossInv[Quantity], MATCH(World_Boss[[#This Row],[Boss Name]], WorldBossInv[Icon], 0)), "")</f>
        <v>2</v>
      </c>
      <c r="G21" s="149">
        <f t="shared" si="0"/>
        <v>-2</v>
      </c>
    </row>
    <row r="22" spans="1:7" ht="30" customHeight="1" x14ac:dyDescent="0.25">
      <c r="A22" s="144">
        <f>SUBTOTAL(3,$C$3:World_Boss[[#This Row],[Name]])</f>
        <v>20</v>
      </c>
      <c r="B22" s="36" t="e" vm="389">
        <f>IFERROR(INDEX(WorldBossImg[Icon], MATCH(World_Boss[[#This Row],[Name]], WorldBossImg[Name], 0)), "")</f>
        <v>#VALUE!</v>
      </c>
      <c r="C22" s="36" t="s">
        <v>288</v>
      </c>
      <c r="D22" s="145">
        <v>3.1</v>
      </c>
      <c r="E22" s="144">
        <f>SUMIF(WorldBoss[Material],World_Boss[[#This Row],[Boss Name]],WorldBoss[Need to Farm])</f>
        <v>46</v>
      </c>
      <c r="F22" s="36">
        <f>IFERROR(INDEX(WorldBossInv[Quantity], MATCH(World_Boss[[#This Row],[Boss Name]], WorldBossInv[Icon], 0)), "")</f>
        <v>48</v>
      </c>
      <c r="G22" s="149">
        <f t="shared" si="0"/>
        <v>-2</v>
      </c>
    </row>
    <row r="23" spans="1:7" ht="30" customHeight="1" x14ac:dyDescent="0.25">
      <c r="A23" s="144">
        <f>SUBTOTAL(3,$C$3:World_Boss[[#This Row],[Name]])</f>
        <v>21</v>
      </c>
      <c r="B23" s="36" t="e" vm="522">
        <f>IFERROR(INDEX(WorldBossImg[Icon], MATCH(World_Boss[[#This Row],[Name]], WorldBossImg[Name], 0)), "")</f>
        <v>#VALUE!</v>
      </c>
      <c r="C23" s="36" t="s">
        <v>297</v>
      </c>
      <c r="D23" s="145">
        <v>3.2</v>
      </c>
      <c r="E23" s="144">
        <f>SUMIF(WorldBoss[Material],World_Boss[[#This Row],[Boss Name]],WorldBoss[Need to Farm])</f>
        <v>92</v>
      </c>
      <c r="F23" s="36">
        <f>IFERROR(INDEX(WorldBossInv[Quantity], MATCH(World_Boss[[#This Row],[Boss Name]], WorldBossInv[Icon], 0)), "")</f>
        <v>95</v>
      </c>
      <c r="G23" s="149">
        <f t="shared" si="0"/>
        <v>-3</v>
      </c>
    </row>
    <row r="24" spans="1:7" ht="30" customHeight="1" x14ac:dyDescent="0.25">
      <c r="A24" s="144">
        <f>SUBTOTAL(3,$C$3:World_Boss[[#This Row],[Name]])</f>
        <v>22</v>
      </c>
      <c r="B24" s="36" t="e" vm="29">
        <f>IFERROR(INDEX(WorldBossImg[Icon], MATCH(World_Boss[[#This Row],[Name]], WorldBossImg[Name], 0)), "")</f>
        <v>#VALUE!</v>
      </c>
      <c r="C24" s="36" t="s">
        <v>306</v>
      </c>
      <c r="D24" s="145">
        <v>3.4</v>
      </c>
      <c r="E24" s="144">
        <f>SUMIF(WorldBoss[Material],World_Boss[[#This Row],[Boss Name]],WorldBoss[Need to Farm])</f>
        <v>86</v>
      </c>
      <c r="F24" s="36">
        <f>IFERROR(INDEX(WorldBossInv[Quantity], MATCH(World_Boss[[#This Row],[Boss Name]], WorldBossInv[Icon], 0)), "")</f>
        <v>45</v>
      </c>
      <c r="G24" s="149">
        <f t="shared" si="0"/>
        <v>41</v>
      </c>
    </row>
    <row r="25" spans="1:7" ht="30" customHeight="1" x14ac:dyDescent="0.25">
      <c r="A25" s="144">
        <f>SUBTOTAL(3,$C$3:World_Boss[[#This Row],[Name]])</f>
        <v>23</v>
      </c>
      <c r="B25" s="36" t="e" vm="225">
        <f>IFERROR(INDEX(WorldBossImg[Icon], MATCH(World_Boss[[#This Row],[Name]], WorldBossImg[Name], 0)), "")</f>
        <v>#VALUE!</v>
      </c>
      <c r="C25" s="36" t="s">
        <v>317</v>
      </c>
      <c r="D25" s="145">
        <v>3.6</v>
      </c>
      <c r="E25" s="144">
        <f>SUMIF(WorldBoss[Material],World_Boss[[#This Row],[Boss Name]],WorldBoss[Need to Farm])</f>
        <v>46</v>
      </c>
      <c r="F25" s="36">
        <f>IFERROR(INDEX(WorldBossInv[Quantity], MATCH(World_Boss[[#This Row],[Boss Name]], WorldBossInv[Icon], 0)), "")</f>
        <v>48</v>
      </c>
      <c r="G25" s="149">
        <f t="shared" si="0"/>
        <v>-2</v>
      </c>
    </row>
    <row r="26" spans="1:7" ht="30" customHeight="1" x14ac:dyDescent="0.25">
      <c r="A26" s="144">
        <f>SUBTOTAL(3,$C$3:World_Boss[[#This Row],[Name]])</f>
        <v>24</v>
      </c>
      <c r="B26" s="36" t="e" vm="72">
        <f>IFERROR(INDEX(WorldBossImg[Icon], MATCH(World_Boss[[#This Row],[Name]], WorldBossImg[Name], 0)), "")</f>
        <v>#VALUE!</v>
      </c>
      <c r="C26" s="36" t="s">
        <v>325</v>
      </c>
      <c r="D26" s="145">
        <v>4</v>
      </c>
      <c r="E26" s="144">
        <f>SUMIF(WorldBoss[Material],World_Boss[[#This Row],[Boss Name]],WorldBoss[Need to Farm])</f>
        <v>46</v>
      </c>
      <c r="F26" s="36">
        <f>IFERROR(INDEX(WorldBossInv[Quantity], MATCH(World_Boss[[#This Row],[Boss Name]], WorldBossInv[Icon], 0)), "")</f>
        <v>48</v>
      </c>
      <c r="G26" s="149">
        <f t="shared" si="0"/>
        <v>-2</v>
      </c>
    </row>
    <row r="27" spans="1:7" ht="30" customHeight="1" x14ac:dyDescent="0.25">
      <c r="A27" s="144">
        <f>SUBTOTAL(3,$C$3:World_Boss[[#This Row],[Name]])</f>
        <v>25</v>
      </c>
      <c r="B27" s="36" t="e" vm="514">
        <f>IFERROR(INDEX(WorldBossImg[Icon], MATCH(World_Boss[[#This Row],[Name]], WorldBossImg[Name], 0)), "")</f>
        <v>#VALUE!</v>
      </c>
      <c r="C27" s="36" t="s">
        <v>333</v>
      </c>
      <c r="D27" s="145">
        <v>4</v>
      </c>
      <c r="E27" s="144">
        <f>SUMIF(WorldBoss[Material],World_Boss[[#This Row],[Boss Name]],WorldBoss[Need to Farm])</f>
        <v>46</v>
      </c>
      <c r="F27" s="36">
        <f>IFERROR(INDEX(WorldBossInv[Quantity], MATCH(World_Boss[[#This Row],[Boss Name]], WorldBossInv[Icon], 0)), "")</f>
        <v>49</v>
      </c>
      <c r="G27" s="149">
        <f t="shared" si="0"/>
        <v>-3</v>
      </c>
    </row>
    <row r="28" spans="1:7" ht="30" customHeight="1" x14ac:dyDescent="0.25">
      <c r="A28" s="144">
        <f>SUBTOTAL(3,$C$3:World_Boss[[#This Row],[Name]])</f>
        <v>26</v>
      </c>
      <c r="B28" s="36" t="e" vm="432">
        <f>IFERROR(INDEX(WorldBossImg[Icon], MATCH(World_Boss[[#This Row],[Name]], WorldBossImg[Name], 0)), "")</f>
        <v>#VALUE!</v>
      </c>
      <c r="C28" s="36" t="s">
        <v>344</v>
      </c>
      <c r="D28" s="145">
        <v>4</v>
      </c>
      <c r="E28" s="144">
        <f>SUMIF(WorldBoss[Material],World_Boss[[#This Row],[Boss Name]],WorldBoss[Need to Farm])</f>
        <v>46</v>
      </c>
      <c r="F28" s="36">
        <f>IFERROR(INDEX(WorldBossInv[Quantity], MATCH(World_Boss[[#This Row],[Boss Name]], WorldBossInv[Icon], 0)), "")</f>
        <v>46</v>
      </c>
      <c r="G28" s="149">
        <f t="shared" si="0"/>
        <v>0</v>
      </c>
    </row>
    <row r="29" spans="1:7" ht="30" customHeight="1" x14ac:dyDescent="0.25">
      <c r="A29" s="144">
        <f>SUBTOTAL(3,$C$3:World_Boss[[#This Row],[Name]])</f>
        <v>27</v>
      </c>
      <c r="B29" s="36" t="e" vm="560">
        <f>IFERROR(INDEX(WorldBossImg[Icon], MATCH(World_Boss[[#This Row],[Name]], WorldBossImg[Name], 0)), "")</f>
        <v>#VALUE!</v>
      </c>
      <c r="C29" s="36" t="s">
        <v>353</v>
      </c>
      <c r="D29" s="145">
        <v>4.0999999999999996</v>
      </c>
      <c r="E29" s="144">
        <f>SUMIF(WorldBoss[Material],World_Boss[[#This Row],[Boss Name]],WorldBoss[Need to Farm])</f>
        <v>0</v>
      </c>
      <c r="F29" s="36">
        <f>IFERROR(INDEX(WorldBossInv[Quantity], MATCH(World_Boss[[#This Row],[Boss Name]], WorldBossInv[Icon], 0)), "")</f>
        <v>1</v>
      </c>
      <c r="G29" s="149">
        <f t="shared" si="0"/>
        <v>-1</v>
      </c>
    </row>
    <row r="30" spans="1:7" ht="30" customHeight="1" x14ac:dyDescent="0.25">
      <c r="A30" s="144">
        <f>SUBTOTAL(3,$C$3:World_Boss[[#This Row],[Name]])</f>
        <v>28</v>
      </c>
      <c r="B30" s="36" t="e" vm="92">
        <f>IFERROR(INDEX(WorldBossImg[Icon], MATCH(World_Boss[[#This Row],[Name]], WorldBossImg[Name], 0)), "")</f>
        <v>#VALUE!</v>
      </c>
      <c r="C30" s="36" t="s">
        <v>362</v>
      </c>
      <c r="D30" s="145">
        <v>4.0999999999999996</v>
      </c>
      <c r="E30" s="144">
        <f>SUMIF(WorldBoss[Material],World_Boss[[#This Row],[Boss Name]],WorldBoss[Need to Farm])</f>
        <v>0</v>
      </c>
      <c r="F30" s="36">
        <f>IFERROR(INDEX(WorldBossInv[Quantity], MATCH(World_Boss[[#This Row],[Boss Name]], WorldBossInv[Icon], 0)), "")</f>
        <v>0</v>
      </c>
      <c r="G30" s="149">
        <f t="shared" si="0"/>
        <v>0</v>
      </c>
    </row>
    <row r="31" spans="1:7" ht="30" customHeight="1" x14ac:dyDescent="0.25">
      <c r="A31" s="144">
        <f>SUBTOTAL(3,$C$3:World_Boss[[#This Row],[Name]])</f>
        <v>29</v>
      </c>
      <c r="B31" s="36" t="e" vm="113">
        <f>IFERROR(INDEX(WorldBossImg[Icon], MATCH(World_Boss[[#This Row],[Name]], WorldBossImg[Name], 0)), "")</f>
        <v>#VALUE!</v>
      </c>
      <c r="C31" s="36" t="s">
        <v>373</v>
      </c>
      <c r="D31" s="145">
        <v>4.2</v>
      </c>
      <c r="E31" s="144">
        <f>SUMIF(WorldBoss[Material],World_Boss[[#This Row],[Boss Name]],WorldBoss[Need to Farm])</f>
        <v>0</v>
      </c>
      <c r="F31" s="36">
        <f>IFERROR(INDEX(WorldBossInv[Quantity], MATCH(World_Boss[[#This Row],[Boss Name]], WorldBossInv[Icon], 0)), "")</f>
        <v>1</v>
      </c>
      <c r="G31" s="149">
        <f t="shared" si="0"/>
        <v>-1</v>
      </c>
    </row>
    <row r="32" spans="1:7" ht="30" customHeight="1" x14ac:dyDescent="0.25">
      <c r="A32" s="144">
        <f>SUBTOTAL(3,$C$3:World_Boss[[#This Row],[Name]])</f>
        <v>30</v>
      </c>
      <c r="B32" s="36" t="e" vm="442">
        <f>IFERROR(INDEX(WorldBossImg[Icon], MATCH(World_Boss[[#This Row],[Name]], WorldBossImg[Name], 0)), "")</f>
        <v>#VALUE!</v>
      </c>
      <c r="C32" s="36" t="s">
        <v>381</v>
      </c>
      <c r="D32" s="145">
        <v>4.4000000000000004</v>
      </c>
      <c r="E32" s="144">
        <f>SUMIF(WorldBoss[Material],World_Boss[[#This Row],[Boss Name]],WorldBoss[Need to Farm])</f>
        <v>20</v>
      </c>
      <c r="F32" s="36">
        <f>IFERROR(INDEX(WorldBossInv[Quantity], MATCH(World_Boss[[#This Row],[Boss Name]], WorldBossInv[Icon], 0)), "")</f>
        <v>20</v>
      </c>
      <c r="G32" s="149">
        <f t="shared" si="0"/>
        <v>0</v>
      </c>
    </row>
    <row r="33" spans="1:7" ht="30" customHeight="1" thickBot="1" x14ac:dyDescent="0.3">
      <c r="A33" s="144">
        <f>SUBTOTAL(3,$C$3:World_Boss[[#This Row],[Name]])</f>
        <v>31</v>
      </c>
      <c r="B33" s="36" t="e" vm="547">
        <f>IFERROR(INDEX(WorldBossImg[Icon], MATCH(World_Boss[[#This Row],[Name]], WorldBossImg[Name], 0)), "")</f>
        <v>#VALUE!</v>
      </c>
      <c r="C33" s="36" t="s">
        <v>390</v>
      </c>
      <c r="D33" s="145">
        <v>4.5999999999999996</v>
      </c>
      <c r="E33" s="150">
        <f>SUMIF(WorldBoss[Material],World_Boss[[#This Row],[Boss Name]],WorldBoss[Need to Farm])</f>
        <v>0</v>
      </c>
      <c r="F33" s="151">
        <f>IFERROR(INDEX(WorldBossInv[Quantity], MATCH(World_Boss[[#This Row],[Boss Name]], WorldBossInv[Icon], 0)), "")</f>
        <v>0</v>
      </c>
      <c r="G33" s="152">
        <f t="shared" si="0"/>
        <v>0</v>
      </c>
    </row>
    <row r="34" spans="1:7" ht="16.5" thickBot="1" x14ac:dyDescent="0.3">
      <c r="A34" s="153" t="s">
        <v>706</v>
      </c>
      <c r="B34" s="154"/>
      <c r="C34" s="154"/>
      <c r="D34" s="155"/>
      <c r="E34" s="151">
        <f>SUBTOTAL(109,World_Boss[Mats Needed])</f>
        <v>1400</v>
      </c>
      <c r="F34" s="151">
        <f>SUBTOTAL(109,World_Boss[Mats Acquired])</f>
        <v>1404</v>
      </c>
      <c r="G34" s="152">
        <f>SUMIF(World_Boss[Remaining Mats],"&gt;=0")</f>
        <v>41</v>
      </c>
    </row>
  </sheetData>
  <protectedRanges>
    <protectedRange sqref="F3:F31" name="World Boss Mats"/>
  </protectedRanges>
  <mergeCells count="1">
    <mergeCell ref="A1:G1"/>
  </mergeCells>
  <dataValidations count="1">
    <dataValidation type="whole" operator="greaterThanOrEqual" allowBlank="1" showInputMessage="1" showErrorMessage="1" errorTitle="Numeric Values Only!" error="Please put numeric values only." sqref="F3:F33" xr:uid="{2A86AE08-7CF5-4CD4-97E1-B726D9C1700D}">
      <formula1>0</formula1>
    </dataValidation>
  </dataValidations>
  <pageMargins left="0.7" right="0.7" top="0.75" bottom="0.75" header="0.3" footer="0.3"/>
  <tableParts count="1">
    <tablePart r:id="rId1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9E65AD8B-7BB3-4A71-85F6-D011FA0D28F3}">
          <xm:f>'World Boss'!1:1048576</xm:f>
        </x15:webExtension>
        <x15:webExtension appRef="{236CC71B-C42B-43C8-92CF-6A62E49BDB20}">
          <xm:f>'World Boss'!#REF!</xm:f>
        </x15:webExtension>
      </x15:webExtens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6628D-BCE7-4F87-8C14-89EDC18292AB}">
  <sheetPr codeName="Sheet4">
    <tabColor rgb="FFFFC000"/>
  </sheetPr>
  <dimension ref="A1:V19"/>
  <sheetViews>
    <sheetView workbookViewId="0">
      <selection activeCell="L5" sqref="L5"/>
    </sheetView>
  </sheetViews>
  <sheetFormatPr defaultColWidth="9.140625" defaultRowHeight="15.75" x14ac:dyDescent="0.25"/>
  <cols>
    <col min="1" max="1" width="8.28515625" style="36" customWidth="1"/>
    <col min="2" max="2" width="21.140625" style="36" bestFit="1" customWidth="1"/>
    <col min="3" max="3" width="21.28515625" style="36" hidden="1" customWidth="1"/>
    <col min="4" max="4" width="12.7109375" style="36" customWidth="1"/>
    <col min="5" max="5" width="9.140625" style="36"/>
    <col min="6" max="6" width="9.28515625" style="36" bestFit="1" customWidth="1"/>
    <col min="7" max="7" width="9.140625" style="36"/>
    <col min="8" max="8" width="9.28515625" style="36" bestFit="1" customWidth="1"/>
    <col min="9" max="9" width="9.140625" style="36"/>
    <col min="10" max="10" width="9.28515625" style="36" bestFit="1" customWidth="1"/>
    <col min="11" max="11" width="9.140625" style="36"/>
    <col min="12" max="12" width="9.28515625" style="36" bestFit="1" customWidth="1"/>
    <col min="13" max="13" width="9.140625" style="36"/>
    <col min="14" max="14" width="9.28515625" style="36" bestFit="1" customWidth="1"/>
    <col min="15" max="15" width="9.140625" style="36"/>
    <col min="16" max="16" width="9.28515625" style="36" bestFit="1" customWidth="1"/>
    <col min="17" max="17" width="9.140625" style="36"/>
    <col min="18" max="18" width="9.28515625" style="36" bestFit="1" customWidth="1"/>
    <col min="19" max="19" width="9.140625" style="36"/>
    <col min="20" max="20" width="9.28515625" style="36" bestFit="1" customWidth="1"/>
    <col min="21" max="21" width="9.140625" style="36" customWidth="1"/>
    <col min="22" max="22" width="9.42578125" style="36" bestFit="1" customWidth="1"/>
    <col min="23" max="16384" width="9.140625" style="36"/>
  </cols>
  <sheetData>
    <row r="1" spans="1:22" ht="33.75" customHeight="1" thickBot="1" x14ac:dyDescent="0.3">
      <c r="A1" s="206" t="s">
        <v>68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8"/>
    </row>
    <row r="2" spans="1:22" x14ac:dyDescent="0.25">
      <c r="A2" s="157" t="s">
        <v>670</v>
      </c>
      <c r="B2" s="158" t="s">
        <v>2</v>
      </c>
      <c r="C2" s="158" t="s">
        <v>671</v>
      </c>
      <c r="D2" s="159" t="s">
        <v>707</v>
      </c>
      <c r="E2" s="209" t="s">
        <v>753</v>
      </c>
      <c r="F2" s="210"/>
      <c r="G2" s="210"/>
      <c r="H2" s="210"/>
      <c r="I2" s="210"/>
      <c r="J2" s="211"/>
      <c r="K2" s="209" t="s">
        <v>711</v>
      </c>
      <c r="L2" s="210"/>
      <c r="M2" s="210"/>
      <c r="N2" s="210"/>
      <c r="O2" s="210"/>
      <c r="P2" s="211"/>
      <c r="Q2" s="209" t="s">
        <v>712</v>
      </c>
      <c r="R2" s="210"/>
      <c r="S2" s="210"/>
      <c r="T2" s="210"/>
      <c r="U2" s="210"/>
      <c r="V2" s="211"/>
    </row>
    <row r="3" spans="1:22" ht="15" customHeight="1" thickBot="1" x14ac:dyDescent="0.3">
      <c r="A3" s="160" t="s">
        <v>670</v>
      </c>
      <c r="B3" s="161" t="s">
        <v>2</v>
      </c>
      <c r="C3" s="162" t="s">
        <v>671</v>
      </c>
      <c r="D3" s="163" t="s">
        <v>707</v>
      </c>
      <c r="E3" s="160" t="s">
        <v>681</v>
      </c>
      <c r="F3" s="161" t="s">
        <v>757</v>
      </c>
      <c r="G3" s="161" t="s">
        <v>682</v>
      </c>
      <c r="H3" s="161" t="s">
        <v>758</v>
      </c>
      <c r="I3" s="161" t="s">
        <v>683</v>
      </c>
      <c r="J3" s="163" t="s">
        <v>756</v>
      </c>
      <c r="K3" s="160" t="s">
        <v>763</v>
      </c>
      <c r="L3" s="161" t="s">
        <v>764</v>
      </c>
      <c r="M3" s="161" t="s">
        <v>761</v>
      </c>
      <c r="N3" s="161" t="s">
        <v>762</v>
      </c>
      <c r="O3" s="161" t="s">
        <v>754</v>
      </c>
      <c r="P3" s="163" t="s">
        <v>760</v>
      </c>
      <c r="Q3" s="160" t="s">
        <v>767</v>
      </c>
      <c r="R3" s="161" t="s">
        <v>768</v>
      </c>
      <c r="S3" s="161" t="s">
        <v>765</v>
      </c>
      <c r="T3" s="161" t="s">
        <v>766</v>
      </c>
      <c r="U3" s="161" t="s">
        <v>755</v>
      </c>
      <c r="V3" s="163" t="s">
        <v>759</v>
      </c>
    </row>
    <row r="4" spans="1:22" ht="30" customHeight="1" x14ac:dyDescent="0.25">
      <c r="A4" s="144">
        <f>SUBTOTAL(3,$B$4:Talent_Books[[#This Row],[Book Region]])</f>
        <v>1</v>
      </c>
      <c r="B4" s="36" t="s">
        <v>713</v>
      </c>
      <c r="C4" s="164" t="s">
        <v>825</v>
      </c>
      <c r="D4" s="165">
        <v>1</v>
      </c>
      <c r="E4" s="144" t="e" vm="351">
        <f>IFERROR(INDEX(TalentBooksImg[Icon], MATCH(_xlfn.CONCAT("philosophiesof",Talent_Books[[#This Row],[NameHelper]]), TalentBooksImg[Name], 0)), "")</f>
        <v>#VALUE!</v>
      </c>
      <c r="F4" s="36">
        <f>SUMIF(TalentBook[Book],Talent_Books[[#This Row],[4* Book]],TalentBook[4* Book])</f>
        <v>188</v>
      </c>
      <c r="G4" s="156" t="e" vm="725">
        <f>IFERROR(INDEX(TalentBooksImg[Icon], MATCH(_xlfn.CONCAT("guideto",Talent_Books[[#This Row],[NameHelper]]), TalentBooksImg[Name], 0)), "")</f>
        <v>#VALUE!</v>
      </c>
      <c r="H4" s="166">
        <f>SUMIF(TalentBook[Book],Talent_Books[[#This Row],[4* Book]],TalentBook[3* Book])</f>
        <v>144</v>
      </c>
      <c r="I4" s="36" t="e" vm="731">
        <f>IFERROR(INDEX(TalentBooksImg[Icon], MATCH(_xlfn.CONCAT("teachingsof",Talent_Books[[#This Row],[NameHelper]]), TalentBooksImg[Name], 0)), "")</f>
        <v>#VALUE!</v>
      </c>
      <c r="J4" s="149">
        <f>SUMIF(TalentBook[Book],Talent_Books[[#This Row],[4* Book]],TalentBook[2* Book])</f>
        <v>12</v>
      </c>
      <c r="K4" s="144" t="e" vm="351">
        <f>IFERROR(INDEX(TalentBooksImg[Icon], MATCH(_xlfn.CONCAT("philosophiesof",Talent_Books[[#This Row],[NameHelper]]), TalentBooksImg[Name], 0)), "")</f>
        <v>#VALUE!</v>
      </c>
      <c r="L4" s="36">
        <f>IFERROR(INDEX(TalentBooksInv[Quantity], MATCH(Talent_Books[[#This Row],[4* Book2]], TalentBooksInv[Icon], 0)), "")</f>
        <v>36</v>
      </c>
      <c r="M4" s="156" t="e" vm="725">
        <f>IFERROR(INDEX(TalentBooksImg[Icon], MATCH(_xlfn.CONCAT("guideto",Talent_Books[[#This Row],[NameHelper]]), TalentBooksImg[Name], 0)), "")</f>
        <v>#VALUE!</v>
      </c>
      <c r="N4" s="166">
        <f>IFERROR(INDEX(TalentBooksInv[Quantity], MATCH(Talent_Books[[#This Row],[3* Book2]], TalentBooksInv[Icon], 0)), "")</f>
        <v>81</v>
      </c>
      <c r="O4" s="36" t="e" vm="731">
        <f>IFERROR(INDEX(TalentBooksImg[Icon], MATCH(_xlfn.CONCAT("teachingsof",Talent_Books[[#This Row],[NameHelper]]), TalentBooksImg[Name], 0)), "")</f>
        <v>#VALUE!</v>
      </c>
      <c r="P4" s="149">
        <f>IFERROR(INDEX(TalentBooksInv[Quantity], MATCH(Talent_Books[[#This Row],[2* Book2]], TalentBooksInv[Icon], 0)), "")</f>
        <v>50</v>
      </c>
      <c r="Q4" s="144" t="e" vm="351">
        <f>IFERROR(INDEX(TalentBooksImg[Icon], MATCH(_xlfn.CONCAT("philosophiesof",Talent_Books[[#This Row],[NameHelper]]), TalentBooksImg[Name], 0)), "")</f>
        <v>#VALUE!</v>
      </c>
      <c r="R4" s="36">
        <f>Talent_Books[[#This Row],[4* Need]]-Talent_Books[[#This Row],[4* Need2]]</f>
        <v>152</v>
      </c>
      <c r="S4" s="156" t="e" vm="725">
        <f>IFERROR(INDEX(TalentBooksImg[Icon], MATCH(_xlfn.CONCAT("guideto",Talent_Books[[#This Row],[NameHelper]]), TalentBooksImg[Name], 0)), "")</f>
        <v>#VALUE!</v>
      </c>
      <c r="T4" s="166">
        <f>Talent_Books[[#This Row],[3* Need]]-Talent_Books[[#This Row],[3* Need2]]</f>
        <v>63</v>
      </c>
      <c r="U4" s="36" t="e" vm="731">
        <f>IFERROR(INDEX(TalentBooksImg[Icon], MATCH(_xlfn.CONCAT("teachingsof",Talent_Books[[#This Row],[NameHelper]]), TalentBooksImg[Name], 0)), "")</f>
        <v>#VALUE!</v>
      </c>
      <c r="V4" s="149">
        <f>Talent_Books[[#This Row],[2* Need]]-Talent_Books[[#This Row],[2* Need2]]</f>
        <v>-38</v>
      </c>
    </row>
    <row r="5" spans="1:22" ht="30" customHeight="1" x14ac:dyDescent="0.25">
      <c r="A5" s="144">
        <f>SUBTOTAL(3,$B$4:Talent_Books[[#This Row],[Book Region]])</f>
        <v>2</v>
      </c>
      <c r="B5" s="36" t="s">
        <v>713</v>
      </c>
      <c r="C5" s="164" t="s">
        <v>826</v>
      </c>
      <c r="D5" s="165">
        <v>1</v>
      </c>
      <c r="E5" s="144" t="e" vm="53">
        <f>IFERROR(INDEX(TalentBooksImg[Icon], MATCH(_xlfn.CONCAT("philosophiesof",Talent_Books[[#This Row],[NameHelper]]), TalentBooksImg[Name], 0)), "")</f>
        <v>#VALUE!</v>
      </c>
      <c r="F5" s="36">
        <f>SUMIF(TalentBook[Book],Talent_Books[[#This Row],[4* Book]],TalentBook[4* Book])</f>
        <v>218</v>
      </c>
      <c r="G5" s="156" t="e" vm="740">
        <f>IFERROR(INDEX(TalentBooksImg[Icon], MATCH(_xlfn.CONCAT("guideto",Talent_Books[[#This Row],[NameHelper]]), TalentBooksImg[Name], 0)), "")</f>
        <v>#VALUE!</v>
      </c>
      <c r="H5" s="166">
        <f>SUMIF(TalentBook[Book],Talent_Books[[#This Row],[4* Book]],TalentBook[3* Book])</f>
        <v>135</v>
      </c>
      <c r="I5" s="36" t="e" vm="743">
        <f>IFERROR(INDEX(TalentBooksImg[Icon], MATCH(_xlfn.CONCAT("teachingsof",Talent_Books[[#This Row],[NameHelper]]), TalentBooksImg[Name], 0)), "")</f>
        <v>#VALUE!</v>
      </c>
      <c r="J5" s="149">
        <f>SUMIF(TalentBook[Book],Talent_Books[[#This Row],[4* Book]],TalentBook[2* Book])</f>
        <v>18</v>
      </c>
      <c r="K5" s="144" t="e" vm="53">
        <f>IFERROR(INDEX(TalentBooksImg[Icon], MATCH(_xlfn.CONCAT("philosophiesof",Talent_Books[[#This Row],[NameHelper]]), TalentBooksImg[Name], 0)), "")</f>
        <v>#VALUE!</v>
      </c>
      <c r="L5" s="36">
        <f>IFERROR(INDEX(TalentBooksInv[Quantity], MATCH(Talent_Books[[#This Row],[4* Book2]], TalentBooksInv[Icon], 0)), "")</f>
        <v>34</v>
      </c>
      <c r="M5" s="156" t="e" vm="740">
        <f>IFERROR(INDEX(TalentBooksImg[Icon], MATCH(_xlfn.CONCAT("guideto",Talent_Books[[#This Row],[NameHelper]]), TalentBooksImg[Name], 0)), "")</f>
        <v>#VALUE!</v>
      </c>
      <c r="N5" s="166">
        <f>IFERROR(INDEX(TalentBooksInv[Quantity], MATCH(Talent_Books[[#This Row],[3* Book2]], TalentBooksInv[Icon], 0)), "")</f>
        <v>59</v>
      </c>
      <c r="O5" s="36" t="e" vm="743">
        <f>IFERROR(INDEX(TalentBooksImg[Icon], MATCH(_xlfn.CONCAT("teachingsof",Talent_Books[[#This Row],[NameHelper]]), TalentBooksImg[Name], 0)), "")</f>
        <v>#VALUE!</v>
      </c>
      <c r="P5" s="149">
        <f>IFERROR(INDEX(TalentBooksInv[Quantity], MATCH(Talent_Books[[#This Row],[2* Book2]], TalentBooksInv[Icon], 0)), "")</f>
        <v>44</v>
      </c>
      <c r="Q5" s="144" t="e" vm="53">
        <f>IFERROR(INDEX(TalentBooksImg[Icon], MATCH(_xlfn.CONCAT("philosophiesof",Talent_Books[[#This Row],[NameHelper]]), TalentBooksImg[Name], 0)), "")</f>
        <v>#VALUE!</v>
      </c>
      <c r="R5" s="36">
        <f>Talent_Books[[#This Row],[4* Need]]-Talent_Books[[#This Row],[4* Need2]]</f>
        <v>184</v>
      </c>
      <c r="S5" s="156" t="e" vm="740">
        <f>IFERROR(INDEX(TalentBooksImg[Icon], MATCH(_xlfn.CONCAT("guideto",Talent_Books[[#This Row],[NameHelper]]), TalentBooksImg[Name], 0)), "")</f>
        <v>#VALUE!</v>
      </c>
      <c r="T5" s="166">
        <f>Talent_Books[[#This Row],[3* Need]]-Talent_Books[[#This Row],[3* Need2]]</f>
        <v>76</v>
      </c>
      <c r="U5" s="36" t="e" vm="743">
        <f>IFERROR(INDEX(TalentBooksImg[Icon], MATCH(_xlfn.CONCAT("teachingsof",Talent_Books[[#This Row],[NameHelper]]), TalentBooksImg[Name], 0)), "")</f>
        <v>#VALUE!</v>
      </c>
      <c r="V5" s="149">
        <f>Talent_Books[[#This Row],[2* Need]]-Talent_Books[[#This Row],[2* Need2]]</f>
        <v>-26</v>
      </c>
    </row>
    <row r="6" spans="1:22" ht="30" customHeight="1" x14ac:dyDescent="0.25">
      <c r="A6" s="144">
        <f>SUBTOTAL(3,$B$4:Talent_Books[[#This Row],[Book Region]])</f>
        <v>3</v>
      </c>
      <c r="B6" s="36" t="s">
        <v>713</v>
      </c>
      <c r="C6" s="164" t="s">
        <v>827</v>
      </c>
      <c r="D6" s="165">
        <v>1</v>
      </c>
      <c r="E6" s="144" t="e" vm="9">
        <f>IFERROR(INDEX(TalentBooksImg[Icon], MATCH(_xlfn.CONCAT("philosophiesof",Talent_Books[[#This Row],[NameHelper]]), TalentBooksImg[Name], 0)), "")</f>
        <v>#VALUE!</v>
      </c>
      <c r="F6" s="36">
        <f>SUMIF(TalentBook[Book],Talent_Books[[#This Row],[4* Book]],TalentBook[4* Book])</f>
        <v>198</v>
      </c>
      <c r="G6" s="156" t="e" vm="750">
        <f>IFERROR(INDEX(TalentBooksImg[Icon], MATCH(_xlfn.CONCAT("guideto",Talent_Books[[#This Row],[NameHelper]]), TalentBooksImg[Name], 0)), "")</f>
        <v>#VALUE!</v>
      </c>
      <c r="H6" s="166">
        <f>SUMIF(TalentBook[Book],Talent_Books[[#This Row],[4* Book]],TalentBook[3* Book])</f>
        <v>189</v>
      </c>
      <c r="I6" s="36" t="e" vm="754">
        <f>IFERROR(INDEX(TalentBooksImg[Icon], MATCH(_xlfn.CONCAT("teachingsof",Talent_Books[[#This Row],[NameHelper]]), TalentBooksImg[Name], 0)), "")</f>
        <v>#VALUE!</v>
      </c>
      <c r="J6" s="149">
        <f>SUMIF(TalentBook[Book],Talent_Books[[#This Row],[4* Book]],TalentBook[2* Book])</f>
        <v>27</v>
      </c>
      <c r="K6" s="144" t="e" vm="9">
        <f>IFERROR(INDEX(TalentBooksImg[Icon], MATCH(_xlfn.CONCAT("philosophiesof",Talent_Books[[#This Row],[NameHelper]]), TalentBooksImg[Name], 0)), "")</f>
        <v>#VALUE!</v>
      </c>
      <c r="L6" s="36">
        <f>IFERROR(INDEX(TalentBooksInv[Quantity], MATCH(Talent_Books[[#This Row],[4* Book2]], TalentBooksInv[Icon], 0)), "")</f>
        <v>10</v>
      </c>
      <c r="M6" s="156" t="e" vm="750">
        <f>IFERROR(INDEX(TalentBooksImg[Icon], MATCH(_xlfn.CONCAT("guideto",Talent_Books[[#This Row],[NameHelper]]), TalentBooksImg[Name], 0)), "")</f>
        <v>#VALUE!</v>
      </c>
      <c r="N6" s="166">
        <f>IFERROR(INDEX(TalentBooksInv[Quantity], MATCH(Talent_Books[[#This Row],[3* Book2]], TalentBooksInv[Icon], 0)), "")</f>
        <v>61</v>
      </c>
      <c r="O6" s="36" t="e" vm="754">
        <f>IFERROR(INDEX(TalentBooksImg[Icon], MATCH(_xlfn.CONCAT("teachingsof",Talent_Books[[#This Row],[NameHelper]]), TalentBooksImg[Name], 0)), "")</f>
        <v>#VALUE!</v>
      </c>
      <c r="P6" s="149">
        <f>IFERROR(INDEX(TalentBooksInv[Quantity], MATCH(Talent_Books[[#This Row],[2* Book2]], TalentBooksInv[Icon], 0)), "")</f>
        <v>49</v>
      </c>
      <c r="Q6" s="144" t="e" vm="9">
        <f>IFERROR(INDEX(TalentBooksImg[Icon], MATCH(_xlfn.CONCAT("philosophiesof",Talent_Books[[#This Row],[NameHelper]]), TalentBooksImg[Name], 0)), "")</f>
        <v>#VALUE!</v>
      </c>
      <c r="R6" s="36">
        <f>Talent_Books[[#This Row],[4* Need]]-Talent_Books[[#This Row],[4* Need2]]</f>
        <v>188</v>
      </c>
      <c r="S6" s="156" t="e" vm="750">
        <f>IFERROR(INDEX(TalentBooksImg[Icon], MATCH(_xlfn.CONCAT("guideto",Talent_Books[[#This Row],[NameHelper]]), TalentBooksImg[Name], 0)), "")</f>
        <v>#VALUE!</v>
      </c>
      <c r="T6" s="166">
        <f>Talent_Books[[#This Row],[3* Need]]-Talent_Books[[#This Row],[3* Need2]]</f>
        <v>128</v>
      </c>
      <c r="U6" s="36" t="e" vm="754">
        <f>IFERROR(INDEX(TalentBooksImg[Icon], MATCH(_xlfn.CONCAT("teachingsof",Talent_Books[[#This Row],[NameHelper]]), TalentBooksImg[Name], 0)), "")</f>
        <v>#VALUE!</v>
      </c>
      <c r="V6" s="149">
        <f>Talent_Books[[#This Row],[2* Need]]-Talent_Books[[#This Row],[2* Need2]]</f>
        <v>-22</v>
      </c>
    </row>
    <row r="7" spans="1:22" ht="30" customHeight="1" x14ac:dyDescent="0.25">
      <c r="A7" s="144">
        <f>SUBTOTAL(3,$B$4:Talent_Books[[#This Row],[Book Region]])</f>
        <v>4</v>
      </c>
      <c r="B7" s="36" t="s">
        <v>714</v>
      </c>
      <c r="C7" s="164" t="s">
        <v>828</v>
      </c>
      <c r="D7" s="165">
        <v>1.01</v>
      </c>
      <c r="E7" s="144" t="e" vm="212">
        <f>IFERROR(INDEX(TalentBooksImg[Icon], MATCH(_xlfn.CONCAT("philosophiesof",Talent_Books[[#This Row],[NameHelper]]), TalentBooksImg[Name], 0)), "")</f>
        <v>#VALUE!</v>
      </c>
      <c r="F7" s="36">
        <f>SUMIF(TalentBook[Book],Talent_Books[[#This Row],[4* Book]],TalentBook[4* Book])</f>
        <v>156</v>
      </c>
      <c r="G7" s="156" t="e" vm="760">
        <f>IFERROR(INDEX(TalentBooksImg[Icon], MATCH(_xlfn.CONCAT("guideto",Talent_Books[[#This Row],[NameHelper]]), TalentBooksImg[Name], 0)), "")</f>
        <v>#VALUE!</v>
      </c>
      <c r="H7" s="166">
        <f>SUMIF(TalentBook[Book],Talent_Books[[#This Row],[4* Book]],TalentBook[3* Book])</f>
        <v>69</v>
      </c>
      <c r="I7" s="36" t="e" vm="764">
        <f>IFERROR(INDEX(TalentBooksImg[Icon], MATCH(_xlfn.CONCAT("teachingsof",Talent_Books[[#This Row],[NameHelper]]), TalentBooksImg[Name], 0)), "")</f>
        <v>#VALUE!</v>
      </c>
      <c r="J7" s="149">
        <f>SUMIF(TalentBook[Book],Talent_Books[[#This Row],[4* Book]],TalentBook[2* Book])</f>
        <v>6</v>
      </c>
      <c r="K7" s="144" t="e" vm="212">
        <f>IFERROR(INDEX(TalentBooksImg[Icon], MATCH(_xlfn.CONCAT("philosophiesof",Talent_Books[[#This Row],[NameHelper]]), TalentBooksImg[Name], 0)), "")</f>
        <v>#VALUE!</v>
      </c>
      <c r="L7" s="36">
        <f>IFERROR(INDEX(TalentBooksInv[Quantity], MATCH(Talent_Books[[#This Row],[4* Book2]], TalentBooksInv[Icon], 0)), "")</f>
        <v>17</v>
      </c>
      <c r="M7" s="156" t="e" vm="760">
        <f>IFERROR(INDEX(TalentBooksImg[Icon], MATCH(_xlfn.CONCAT("guideto",Talent_Books[[#This Row],[NameHelper]]), TalentBooksImg[Name], 0)), "")</f>
        <v>#VALUE!</v>
      </c>
      <c r="N7" s="166">
        <f>IFERROR(INDEX(TalentBooksInv[Quantity], MATCH(Talent_Books[[#This Row],[3* Book2]], TalentBooksInv[Icon], 0)), "")</f>
        <v>126</v>
      </c>
      <c r="O7" s="36" t="e" vm="764">
        <f>IFERROR(INDEX(TalentBooksImg[Icon], MATCH(_xlfn.CONCAT("teachingsof",Talent_Books[[#This Row],[NameHelper]]), TalentBooksImg[Name], 0)), "")</f>
        <v>#VALUE!</v>
      </c>
      <c r="P7" s="149">
        <f>IFERROR(INDEX(TalentBooksInv[Quantity], MATCH(Talent_Books[[#This Row],[2* Book2]], TalentBooksInv[Icon], 0)), "")</f>
        <v>121</v>
      </c>
      <c r="Q7" s="144" t="e" vm="212">
        <f>IFERROR(INDEX(TalentBooksImg[Icon], MATCH(_xlfn.CONCAT("philosophiesof",Talent_Books[[#This Row],[NameHelper]]), TalentBooksImg[Name], 0)), "")</f>
        <v>#VALUE!</v>
      </c>
      <c r="R7" s="36">
        <f>Talent_Books[[#This Row],[4* Need]]-Talent_Books[[#This Row],[4* Need2]]</f>
        <v>139</v>
      </c>
      <c r="S7" s="156" t="e" vm="760">
        <f>IFERROR(INDEX(TalentBooksImg[Icon], MATCH(_xlfn.CONCAT("guideto",Talent_Books[[#This Row],[NameHelper]]), TalentBooksImg[Name], 0)), "")</f>
        <v>#VALUE!</v>
      </c>
      <c r="T7" s="166">
        <f>Talent_Books[[#This Row],[3* Need]]-Talent_Books[[#This Row],[3* Need2]]</f>
        <v>-57</v>
      </c>
      <c r="U7" s="36" t="e" vm="764">
        <f>IFERROR(INDEX(TalentBooksImg[Icon], MATCH(_xlfn.CONCAT("teachingsof",Talent_Books[[#This Row],[NameHelper]]), TalentBooksImg[Name], 0)), "")</f>
        <v>#VALUE!</v>
      </c>
      <c r="V7" s="149">
        <f>Talent_Books[[#This Row],[2* Need]]-Talent_Books[[#This Row],[2* Need2]]</f>
        <v>-115</v>
      </c>
    </row>
    <row r="8" spans="1:22" ht="30" customHeight="1" x14ac:dyDescent="0.25">
      <c r="A8" s="144">
        <f>SUBTOTAL(3,$B$4:Talent_Books[[#This Row],[Book Region]])</f>
        <v>5</v>
      </c>
      <c r="B8" s="36" t="s">
        <v>714</v>
      </c>
      <c r="C8" s="164" t="s">
        <v>829</v>
      </c>
      <c r="D8" s="165">
        <v>1.01</v>
      </c>
      <c r="E8" s="144" t="e" vm="151">
        <f>IFERROR(INDEX(TalentBooksImg[Icon], MATCH(_xlfn.CONCAT("philosophiesof",Talent_Books[[#This Row],[NameHelper]]), TalentBooksImg[Name], 0)), "")</f>
        <v>#VALUE!</v>
      </c>
      <c r="F8" s="36">
        <f>SUMIF(TalentBook[Book],Talent_Books[[#This Row],[4* Book]],TalentBook[4* Book])</f>
        <v>144</v>
      </c>
      <c r="G8" s="156" t="e" vm="768">
        <f>IFERROR(INDEX(TalentBooksImg[Icon], MATCH(_xlfn.CONCAT("guideto",Talent_Books[[#This Row],[NameHelper]]), TalentBooksImg[Name], 0)), "")</f>
        <v>#VALUE!</v>
      </c>
      <c r="H8" s="166">
        <f>SUMIF(TalentBook[Book],Talent_Books[[#This Row],[4* Book]],TalentBook[3* Book])</f>
        <v>126</v>
      </c>
      <c r="I8" s="36" t="e" vm="770">
        <f>IFERROR(INDEX(TalentBooksImg[Icon], MATCH(_xlfn.CONCAT("teachingsof",Talent_Books[[#This Row],[NameHelper]]), TalentBooksImg[Name], 0)), "")</f>
        <v>#VALUE!</v>
      </c>
      <c r="J8" s="149">
        <f>SUMIF(TalentBook[Book],Talent_Books[[#This Row],[4* Book]],TalentBook[2* Book])</f>
        <v>18</v>
      </c>
      <c r="K8" s="144" t="e" vm="151">
        <f>IFERROR(INDEX(TalentBooksImg[Icon], MATCH(_xlfn.CONCAT("philosophiesof",Talent_Books[[#This Row],[NameHelper]]), TalentBooksImg[Name], 0)), "")</f>
        <v>#VALUE!</v>
      </c>
      <c r="L8" s="36">
        <f>IFERROR(INDEX(TalentBooksInv[Quantity], MATCH(Talent_Books[[#This Row],[4* Book2]], TalentBooksInv[Icon], 0)), "")</f>
        <v>11</v>
      </c>
      <c r="M8" s="156" t="e" vm="768">
        <f>IFERROR(INDEX(TalentBooksImg[Icon], MATCH(_xlfn.CONCAT("guideto",Talent_Books[[#This Row],[NameHelper]]), TalentBooksImg[Name], 0)), "")</f>
        <v>#VALUE!</v>
      </c>
      <c r="N8" s="166">
        <f>IFERROR(INDEX(TalentBooksInv[Quantity], MATCH(Talent_Books[[#This Row],[3* Book2]], TalentBooksInv[Icon], 0)), "")</f>
        <v>134</v>
      </c>
      <c r="O8" s="36" t="e" vm="770">
        <f>IFERROR(INDEX(TalentBooksImg[Icon], MATCH(_xlfn.CONCAT("teachingsof",Talent_Books[[#This Row],[NameHelper]]), TalentBooksImg[Name], 0)), "")</f>
        <v>#VALUE!</v>
      </c>
      <c r="P8" s="149">
        <f>IFERROR(INDEX(TalentBooksInv[Quantity], MATCH(Talent_Books[[#This Row],[2* Book2]], TalentBooksInv[Icon], 0)), "")</f>
        <v>177</v>
      </c>
      <c r="Q8" s="144" t="e" vm="151">
        <f>IFERROR(INDEX(TalentBooksImg[Icon], MATCH(_xlfn.CONCAT("philosophiesof",Talent_Books[[#This Row],[NameHelper]]), TalentBooksImg[Name], 0)), "")</f>
        <v>#VALUE!</v>
      </c>
      <c r="R8" s="36">
        <f>Talent_Books[[#This Row],[4* Need]]-Talent_Books[[#This Row],[4* Need2]]</f>
        <v>133</v>
      </c>
      <c r="S8" s="156" t="e" vm="768">
        <f>IFERROR(INDEX(TalentBooksImg[Icon], MATCH(_xlfn.CONCAT("guideto",Talent_Books[[#This Row],[NameHelper]]), TalentBooksImg[Name], 0)), "")</f>
        <v>#VALUE!</v>
      </c>
      <c r="T8" s="166">
        <f>Talent_Books[[#This Row],[3* Need]]-Talent_Books[[#This Row],[3* Need2]]</f>
        <v>-8</v>
      </c>
      <c r="U8" s="36" t="e" vm="770">
        <f>IFERROR(INDEX(TalentBooksImg[Icon], MATCH(_xlfn.CONCAT("teachingsof",Talent_Books[[#This Row],[NameHelper]]), TalentBooksImg[Name], 0)), "")</f>
        <v>#VALUE!</v>
      </c>
      <c r="V8" s="149">
        <f>Talent_Books[[#This Row],[2* Need]]-Talent_Books[[#This Row],[2* Need2]]</f>
        <v>-159</v>
      </c>
    </row>
    <row r="9" spans="1:22" ht="30" customHeight="1" x14ac:dyDescent="0.25">
      <c r="A9" s="144">
        <f>SUBTOTAL(3,$B$4:Talent_Books[[#This Row],[Book Region]])</f>
        <v>6</v>
      </c>
      <c r="B9" s="36" t="s">
        <v>714</v>
      </c>
      <c r="C9" s="164" t="s">
        <v>830</v>
      </c>
      <c r="D9" s="165">
        <v>1.01</v>
      </c>
      <c r="E9" s="144" t="e" vm="338">
        <f>IFERROR(INDEX(TalentBooksImg[Icon], MATCH(_xlfn.CONCAT("philosophiesof",Talent_Books[[#This Row],[NameHelper]]), TalentBooksImg[Name], 0)), "")</f>
        <v>#VALUE!</v>
      </c>
      <c r="F9" s="36">
        <f>SUMIF(TalentBook[Book],Talent_Books[[#This Row],[4* Book]],TalentBook[4* Book])</f>
        <v>176</v>
      </c>
      <c r="G9" s="156" t="e" vm="773">
        <f>IFERROR(INDEX(TalentBooksImg[Icon], MATCH(_xlfn.CONCAT("guideto",Talent_Books[[#This Row],[NameHelper]]), TalentBooksImg[Name], 0)), "")</f>
        <v>#VALUE!</v>
      </c>
      <c r="H9" s="166">
        <f>SUMIF(TalentBook[Book],Talent_Books[[#This Row],[4* Book]],TalentBook[3* Book])</f>
        <v>156</v>
      </c>
      <c r="I9" s="36" t="e" vm="774">
        <f>IFERROR(INDEX(TalentBooksImg[Icon], MATCH(_xlfn.CONCAT("teachingsof",Talent_Books[[#This Row],[NameHelper]]), TalentBooksImg[Name], 0)), "")</f>
        <v>#VALUE!</v>
      </c>
      <c r="J9" s="149">
        <f>SUMIF(TalentBook[Book],Talent_Books[[#This Row],[4* Book]],TalentBook[2* Book])</f>
        <v>18</v>
      </c>
      <c r="K9" s="144" t="e" vm="338">
        <f>IFERROR(INDEX(TalentBooksImg[Icon], MATCH(_xlfn.CONCAT("philosophiesof",Talent_Books[[#This Row],[NameHelper]]), TalentBooksImg[Name], 0)), "")</f>
        <v>#VALUE!</v>
      </c>
      <c r="L9" s="36">
        <f>IFERROR(INDEX(TalentBooksInv[Quantity], MATCH(Talent_Books[[#This Row],[4* Book2]], TalentBooksInv[Icon], 0)), "")</f>
        <v>11</v>
      </c>
      <c r="M9" s="156" t="e" vm="773">
        <f>IFERROR(INDEX(TalentBooksImg[Icon], MATCH(_xlfn.CONCAT("guideto",Talent_Books[[#This Row],[NameHelper]]), TalentBooksImg[Name], 0)), "")</f>
        <v>#VALUE!</v>
      </c>
      <c r="N9" s="166">
        <f>IFERROR(INDEX(TalentBooksInv[Quantity], MATCH(Talent_Books[[#This Row],[3* Book2]], TalentBooksInv[Icon], 0)), "")</f>
        <v>91</v>
      </c>
      <c r="O9" s="36" t="e" vm="774">
        <f>IFERROR(INDEX(TalentBooksImg[Icon], MATCH(_xlfn.CONCAT("teachingsof",Talent_Books[[#This Row],[NameHelper]]), TalentBooksImg[Name], 0)), "")</f>
        <v>#VALUE!</v>
      </c>
      <c r="P9" s="149">
        <f>IFERROR(INDEX(TalentBooksInv[Quantity], MATCH(Talent_Books[[#This Row],[2* Book2]], TalentBooksInv[Icon], 0)), "")</f>
        <v>205</v>
      </c>
      <c r="Q9" s="144" t="e" vm="338">
        <f>IFERROR(INDEX(TalentBooksImg[Icon], MATCH(_xlfn.CONCAT("philosophiesof",Talent_Books[[#This Row],[NameHelper]]), TalentBooksImg[Name], 0)), "")</f>
        <v>#VALUE!</v>
      </c>
      <c r="R9" s="36">
        <f>Talent_Books[[#This Row],[4* Need]]-Talent_Books[[#This Row],[4* Need2]]</f>
        <v>165</v>
      </c>
      <c r="S9" s="156" t="e" vm="773">
        <f>IFERROR(INDEX(TalentBooksImg[Icon], MATCH(_xlfn.CONCAT("guideto",Talent_Books[[#This Row],[NameHelper]]), TalentBooksImg[Name], 0)), "")</f>
        <v>#VALUE!</v>
      </c>
      <c r="T9" s="166">
        <f>Talent_Books[[#This Row],[3* Need]]-Talent_Books[[#This Row],[3* Need2]]</f>
        <v>65</v>
      </c>
      <c r="U9" s="36" t="e" vm="774">
        <f>IFERROR(INDEX(TalentBooksImg[Icon], MATCH(_xlfn.CONCAT("teachingsof",Talent_Books[[#This Row],[NameHelper]]), TalentBooksImg[Name], 0)), "")</f>
        <v>#VALUE!</v>
      </c>
      <c r="V9" s="149">
        <f>Talent_Books[[#This Row],[2* Need]]-Talent_Books[[#This Row],[2* Need2]]</f>
        <v>-187</v>
      </c>
    </row>
    <row r="10" spans="1:22" ht="30" customHeight="1" x14ac:dyDescent="0.25">
      <c r="A10" s="144">
        <f>SUBTOTAL(3,$B$4:Talent_Books[[#This Row],[Book Region]])</f>
        <v>7</v>
      </c>
      <c r="B10" s="36" t="s">
        <v>715</v>
      </c>
      <c r="C10" s="164" t="s">
        <v>831</v>
      </c>
      <c r="D10" s="165">
        <v>2</v>
      </c>
      <c r="E10" s="144" t="e" vm="226">
        <f>IFERROR(INDEX(TalentBooksImg[Icon], MATCH(_xlfn.CONCAT("philosophiesof",Talent_Books[[#This Row],[NameHelper]]), TalentBooksImg[Name], 0)), "")</f>
        <v>#VALUE!</v>
      </c>
      <c r="F10" s="36">
        <f>SUMIF(TalentBook[Book],Talent_Books[[#This Row],[4* Book]],TalentBook[4* Book])</f>
        <v>154</v>
      </c>
      <c r="G10" s="156" t="e" vm="777">
        <f>IFERROR(INDEX(TalentBooksImg[Icon], MATCH(_xlfn.CONCAT("guideto",Talent_Books[[#This Row],[NameHelper]]), TalentBooksImg[Name], 0)), "")</f>
        <v>#VALUE!</v>
      </c>
      <c r="H10" s="166">
        <f>SUMIF(TalentBook[Book],Talent_Books[[#This Row],[4* Book]],TalentBook[3* Book])</f>
        <v>147</v>
      </c>
      <c r="I10" s="36" t="e" vm="779">
        <f>IFERROR(INDEX(TalentBooksImg[Icon], MATCH(_xlfn.CONCAT("teachingsof",Talent_Books[[#This Row],[NameHelper]]), TalentBooksImg[Name], 0)), "")</f>
        <v>#VALUE!</v>
      </c>
      <c r="J10" s="149">
        <f>SUMIF(TalentBook[Book],Talent_Books[[#This Row],[4* Book]],TalentBook[2* Book])</f>
        <v>21</v>
      </c>
      <c r="K10" s="144" t="e" vm="226">
        <f>IFERROR(INDEX(TalentBooksImg[Icon], MATCH(_xlfn.CONCAT("philosophiesof",Talent_Books[[#This Row],[NameHelper]]), TalentBooksImg[Name], 0)), "")</f>
        <v>#VALUE!</v>
      </c>
      <c r="L10" s="36">
        <f>IFERROR(INDEX(TalentBooksInv[Quantity], MATCH(Talent_Books[[#This Row],[4* Book2]], TalentBooksInv[Icon], 0)), "")</f>
        <v>6</v>
      </c>
      <c r="M10" s="156" t="e" vm="777">
        <f>IFERROR(INDEX(TalentBooksImg[Icon], MATCH(_xlfn.CONCAT("guideto",Talent_Books[[#This Row],[NameHelper]]), TalentBooksImg[Name], 0)), "")</f>
        <v>#VALUE!</v>
      </c>
      <c r="N10" s="166">
        <f>IFERROR(INDEX(TalentBooksInv[Quantity], MATCH(Talent_Books[[#This Row],[3* Book2]], TalentBooksInv[Icon], 0)), "")</f>
        <v>27</v>
      </c>
      <c r="O10" s="36" t="e" vm="779">
        <f>IFERROR(INDEX(TalentBooksImg[Icon], MATCH(_xlfn.CONCAT("teachingsof",Talent_Books[[#This Row],[NameHelper]]), TalentBooksImg[Name], 0)), "")</f>
        <v>#VALUE!</v>
      </c>
      <c r="P10" s="149">
        <f>IFERROR(INDEX(TalentBooksInv[Quantity], MATCH(Talent_Books[[#This Row],[2* Book2]], TalentBooksInv[Icon], 0)), "")</f>
        <v>63</v>
      </c>
      <c r="Q10" s="144" t="e" vm="226">
        <f>IFERROR(INDEX(TalentBooksImg[Icon], MATCH(_xlfn.CONCAT("philosophiesof",Talent_Books[[#This Row],[NameHelper]]), TalentBooksImg[Name], 0)), "")</f>
        <v>#VALUE!</v>
      </c>
      <c r="R10" s="36">
        <f>Talent_Books[[#This Row],[4* Need]]-Talent_Books[[#This Row],[4* Need2]]</f>
        <v>148</v>
      </c>
      <c r="S10" s="156" t="e" vm="777">
        <f>IFERROR(INDEX(TalentBooksImg[Icon], MATCH(_xlfn.CONCAT("guideto",Talent_Books[[#This Row],[NameHelper]]), TalentBooksImg[Name], 0)), "")</f>
        <v>#VALUE!</v>
      </c>
      <c r="T10" s="166">
        <f>Talent_Books[[#This Row],[3* Need]]-Talent_Books[[#This Row],[3* Need2]]</f>
        <v>120</v>
      </c>
      <c r="U10" s="36" t="e" vm="779">
        <f>IFERROR(INDEX(TalentBooksImg[Icon], MATCH(_xlfn.CONCAT("teachingsof",Talent_Books[[#This Row],[NameHelper]]), TalentBooksImg[Name], 0)), "")</f>
        <v>#VALUE!</v>
      </c>
      <c r="V10" s="149">
        <f>Talent_Books[[#This Row],[2* Need]]-Talent_Books[[#This Row],[2* Need2]]</f>
        <v>-42</v>
      </c>
    </row>
    <row r="11" spans="1:22" ht="30" customHeight="1" x14ac:dyDescent="0.25">
      <c r="A11" s="144">
        <f>SUBTOTAL(3,$B$4:Talent_Books[[#This Row],[Book Region]])</f>
        <v>8</v>
      </c>
      <c r="B11" s="36" t="s">
        <v>715</v>
      </c>
      <c r="C11" s="164" t="s">
        <v>832</v>
      </c>
      <c r="D11" s="165">
        <v>2</v>
      </c>
      <c r="E11" s="144" t="e" vm="183">
        <f>IFERROR(INDEX(TalentBooksImg[Icon], MATCH(_xlfn.CONCAT("philosophiesof",Talent_Books[[#This Row],[NameHelper]]), TalentBooksImg[Name], 0)), "")</f>
        <v>#VALUE!</v>
      </c>
      <c r="F11" s="36">
        <f>SUMIF(TalentBook[Book],Talent_Books[[#This Row],[4* Book]],TalentBook[4* Book])</f>
        <v>66</v>
      </c>
      <c r="G11" s="156" t="e" vm="781">
        <f>IFERROR(INDEX(TalentBooksImg[Icon], MATCH(_xlfn.CONCAT("guideto",Talent_Books[[#This Row],[NameHelper]]), TalentBooksImg[Name], 0)), "")</f>
        <v>#VALUE!</v>
      </c>
      <c r="H11" s="166">
        <f>SUMIF(TalentBook[Book],Talent_Books[[#This Row],[4* Book]],TalentBook[3* Book])</f>
        <v>42</v>
      </c>
      <c r="I11" s="36" t="e" vm="783">
        <f>IFERROR(INDEX(TalentBooksImg[Icon], MATCH(_xlfn.CONCAT("teachingsof",Talent_Books[[#This Row],[NameHelper]]), TalentBooksImg[Name], 0)), "")</f>
        <v>#VALUE!</v>
      </c>
      <c r="J11" s="149">
        <f>SUMIF(TalentBook[Book],Talent_Books[[#This Row],[4* Book]],TalentBook[2* Book])</f>
        <v>6</v>
      </c>
      <c r="K11" s="144" t="e" vm="183">
        <f>IFERROR(INDEX(TalentBooksImg[Icon], MATCH(_xlfn.CONCAT("philosophiesof",Talent_Books[[#This Row],[NameHelper]]), TalentBooksImg[Name], 0)), "")</f>
        <v>#VALUE!</v>
      </c>
      <c r="L11" s="36">
        <f>IFERROR(INDEX(TalentBooksInv[Quantity], MATCH(Talent_Books[[#This Row],[4* Book2]], TalentBooksInv[Icon], 0)), "")</f>
        <v>6</v>
      </c>
      <c r="M11" s="156" t="e" vm="781">
        <f>IFERROR(INDEX(TalentBooksImg[Icon], MATCH(_xlfn.CONCAT("guideto",Talent_Books[[#This Row],[NameHelper]]), TalentBooksImg[Name], 0)), "")</f>
        <v>#VALUE!</v>
      </c>
      <c r="N11" s="166">
        <f>IFERROR(INDEX(TalentBooksInv[Quantity], MATCH(Talent_Books[[#This Row],[3* Book2]], TalentBooksInv[Icon], 0)), "")</f>
        <v>57</v>
      </c>
      <c r="O11" s="36" t="e" vm="783">
        <f>IFERROR(INDEX(TalentBooksImg[Icon], MATCH(_xlfn.CONCAT("teachingsof",Talent_Books[[#This Row],[NameHelper]]), TalentBooksImg[Name], 0)), "")</f>
        <v>#VALUE!</v>
      </c>
      <c r="P11" s="149">
        <f>IFERROR(INDEX(TalentBooksInv[Quantity], MATCH(Talent_Books[[#This Row],[2* Book2]], TalentBooksInv[Icon], 0)), "")</f>
        <v>49</v>
      </c>
      <c r="Q11" s="144" t="e" vm="183">
        <f>IFERROR(INDEX(TalentBooksImg[Icon], MATCH(_xlfn.CONCAT("philosophiesof",Talent_Books[[#This Row],[NameHelper]]), TalentBooksImg[Name], 0)), "")</f>
        <v>#VALUE!</v>
      </c>
      <c r="R11" s="36">
        <f>Talent_Books[[#This Row],[4* Need]]-Talent_Books[[#This Row],[4* Need2]]</f>
        <v>60</v>
      </c>
      <c r="S11" s="156" t="e" vm="781">
        <f>IFERROR(INDEX(TalentBooksImg[Icon], MATCH(_xlfn.CONCAT("guideto",Talent_Books[[#This Row],[NameHelper]]), TalentBooksImg[Name], 0)), "")</f>
        <v>#VALUE!</v>
      </c>
      <c r="T11" s="166">
        <f>Talent_Books[[#This Row],[3* Need]]-Talent_Books[[#This Row],[3* Need2]]</f>
        <v>-15</v>
      </c>
      <c r="U11" s="36" t="e" vm="783">
        <f>IFERROR(INDEX(TalentBooksImg[Icon], MATCH(_xlfn.CONCAT("teachingsof",Talent_Books[[#This Row],[NameHelper]]), TalentBooksImg[Name], 0)), "")</f>
        <v>#VALUE!</v>
      </c>
      <c r="V11" s="149">
        <f>Talent_Books[[#This Row],[2* Need]]-Talent_Books[[#This Row],[2* Need2]]</f>
        <v>-43</v>
      </c>
    </row>
    <row r="12" spans="1:22" ht="30" customHeight="1" x14ac:dyDescent="0.25">
      <c r="A12" s="144">
        <f>SUBTOTAL(3,$B$4:Talent_Books[[#This Row],[Book Region]])</f>
        <v>9</v>
      </c>
      <c r="B12" s="36" t="s">
        <v>715</v>
      </c>
      <c r="C12" s="164" t="s">
        <v>833</v>
      </c>
      <c r="D12" s="165">
        <v>2</v>
      </c>
      <c r="E12" s="144" t="e" vm="74">
        <f>IFERROR(INDEX(TalentBooksImg[Icon], MATCH(_xlfn.CONCAT("philosophiesof",Talent_Books[[#This Row],[NameHelper]]), TalentBooksImg[Name], 0)), "")</f>
        <v>#VALUE!</v>
      </c>
      <c r="F12" s="36">
        <f>SUMIF(TalentBook[Book],Talent_Books[[#This Row],[4* Book]],TalentBook[4* Book])</f>
        <v>88</v>
      </c>
      <c r="G12" s="156" t="e" vm="785">
        <f>IFERROR(INDEX(TalentBooksImg[Icon], MATCH(_xlfn.CONCAT("guideto",Talent_Books[[#This Row],[NameHelper]]), TalentBooksImg[Name], 0)), "")</f>
        <v>#VALUE!</v>
      </c>
      <c r="H12" s="166">
        <f>SUMIF(TalentBook[Book],Talent_Books[[#This Row],[4* Book]],TalentBook[3* Book])</f>
        <v>84</v>
      </c>
      <c r="I12" s="36" t="e" vm="787">
        <f>IFERROR(INDEX(TalentBooksImg[Icon], MATCH(_xlfn.CONCAT("teachingsof",Talent_Books[[#This Row],[NameHelper]]), TalentBooksImg[Name], 0)), "")</f>
        <v>#VALUE!</v>
      </c>
      <c r="J12" s="149">
        <f>SUMIF(TalentBook[Book],Talent_Books[[#This Row],[4* Book]],TalentBook[2* Book])</f>
        <v>12</v>
      </c>
      <c r="K12" s="144" t="e" vm="74">
        <f>IFERROR(INDEX(TalentBooksImg[Icon], MATCH(_xlfn.CONCAT("philosophiesof",Talent_Books[[#This Row],[NameHelper]]), TalentBooksImg[Name], 0)), "")</f>
        <v>#VALUE!</v>
      </c>
      <c r="L12" s="36">
        <f>IFERROR(INDEX(TalentBooksInv[Quantity], MATCH(Talent_Books[[#This Row],[4* Book2]], TalentBooksInv[Icon], 0)), "")</f>
        <v>11</v>
      </c>
      <c r="M12" s="156" t="e" vm="785">
        <f>IFERROR(INDEX(TalentBooksImg[Icon], MATCH(_xlfn.CONCAT("guideto",Talent_Books[[#This Row],[NameHelper]]), TalentBooksImg[Name], 0)), "")</f>
        <v>#VALUE!</v>
      </c>
      <c r="N12" s="166">
        <f>IFERROR(INDEX(TalentBooksInv[Quantity], MATCH(Talent_Books[[#This Row],[3* Book2]], TalentBooksInv[Icon], 0)), "")</f>
        <v>82</v>
      </c>
      <c r="O12" s="36" t="e" vm="787">
        <f>IFERROR(INDEX(TalentBooksImg[Icon], MATCH(_xlfn.CONCAT("teachingsof",Talent_Books[[#This Row],[NameHelper]]), TalentBooksImg[Name], 0)), "")</f>
        <v>#VALUE!</v>
      </c>
      <c r="P12" s="149">
        <f>IFERROR(INDEX(TalentBooksInv[Quantity], MATCH(Talent_Books[[#This Row],[2* Book2]], TalentBooksInv[Icon], 0)), "")</f>
        <v>25</v>
      </c>
      <c r="Q12" s="144" t="e" vm="74">
        <f>IFERROR(INDEX(TalentBooksImg[Icon], MATCH(_xlfn.CONCAT("philosophiesof",Talent_Books[[#This Row],[NameHelper]]), TalentBooksImg[Name], 0)), "")</f>
        <v>#VALUE!</v>
      </c>
      <c r="R12" s="36">
        <f>Talent_Books[[#This Row],[4* Need]]-Talent_Books[[#This Row],[4* Need2]]</f>
        <v>77</v>
      </c>
      <c r="S12" s="156" t="e" vm="785">
        <f>IFERROR(INDEX(TalentBooksImg[Icon], MATCH(_xlfn.CONCAT("guideto",Talent_Books[[#This Row],[NameHelper]]), TalentBooksImg[Name], 0)), "")</f>
        <v>#VALUE!</v>
      </c>
      <c r="T12" s="166">
        <f>Talent_Books[[#This Row],[3* Need]]-Talent_Books[[#This Row],[3* Need2]]</f>
        <v>2</v>
      </c>
      <c r="U12" s="36" t="e" vm="787">
        <f>IFERROR(INDEX(TalentBooksImg[Icon], MATCH(_xlfn.CONCAT("teachingsof",Talent_Books[[#This Row],[NameHelper]]), TalentBooksImg[Name], 0)), "")</f>
        <v>#VALUE!</v>
      </c>
      <c r="V12" s="149">
        <f>Talent_Books[[#This Row],[2* Need]]-Talent_Books[[#This Row],[2* Need2]]</f>
        <v>-13</v>
      </c>
    </row>
    <row r="13" spans="1:22" ht="30" customHeight="1" x14ac:dyDescent="0.25">
      <c r="A13" s="144">
        <f>SUBTOTAL(3,$B$4:Talent_Books[[#This Row],[Book Region]])</f>
        <v>10</v>
      </c>
      <c r="B13" s="36" t="s">
        <v>716</v>
      </c>
      <c r="C13" s="164" t="s">
        <v>834</v>
      </c>
      <c r="D13" s="165">
        <v>3</v>
      </c>
      <c r="E13" s="144" t="e" vm="391">
        <f>IFERROR(INDEX(TalentBooksImg[Icon], MATCH(_xlfn.CONCAT("philosophiesof",Talent_Books[[#This Row],[NameHelper]]), TalentBooksImg[Name], 0)), "")</f>
        <v>#VALUE!</v>
      </c>
      <c r="F13" s="36">
        <f>SUMIF(TalentBook[Book],Talent_Books[[#This Row],[4* Book]],TalentBook[4* Book])</f>
        <v>88</v>
      </c>
      <c r="G13" s="156" t="e" vm="791">
        <f>IFERROR(INDEX(TalentBooksImg[Icon], MATCH(_xlfn.CONCAT("guideto",Talent_Books[[#This Row],[NameHelper]]), TalentBooksImg[Name], 0)), "")</f>
        <v>#VALUE!</v>
      </c>
      <c r="H13" s="166">
        <f>SUMIF(TalentBook[Book],Talent_Books[[#This Row],[4* Book]],TalentBook[3* Book])</f>
        <v>84</v>
      </c>
      <c r="I13" s="36" t="e" vm="793">
        <f>IFERROR(INDEX(TalentBooksImg[Icon], MATCH(_xlfn.CONCAT("teachingsof",Talent_Books[[#This Row],[NameHelper]]), TalentBooksImg[Name], 0)), "")</f>
        <v>#VALUE!</v>
      </c>
      <c r="J13" s="149">
        <f>SUMIF(TalentBook[Book],Talent_Books[[#This Row],[4* Book]],TalentBook[2* Book])</f>
        <v>12</v>
      </c>
      <c r="K13" s="144" t="e" vm="391">
        <f>IFERROR(INDEX(TalentBooksImg[Icon], MATCH(_xlfn.CONCAT("philosophiesof",Talent_Books[[#This Row],[NameHelper]]), TalentBooksImg[Name], 0)), "")</f>
        <v>#VALUE!</v>
      </c>
      <c r="L13" s="36">
        <f>IFERROR(INDEX(TalentBooksInv[Quantity], MATCH(Talent_Books[[#This Row],[4* Book2]], TalentBooksInv[Icon], 0)), "")</f>
        <v>7</v>
      </c>
      <c r="M13" s="156" t="e" vm="791">
        <f>IFERROR(INDEX(TalentBooksImg[Icon], MATCH(_xlfn.CONCAT("guideto",Talent_Books[[#This Row],[NameHelper]]), TalentBooksImg[Name], 0)), "")</f>
        <v>#VALUE!</v>
      </c>
      <c r="N13" s="166">
        <f>IFERROR(INDEX(TalentBooksInv[Quantity], MATCH(Talent_Books[[#This Row],[3* Book2]], TalentBooksInv[Icon], 0)), "")</f>
        <v>115</v>
      </c>
      <c r="O13" s="36" t="e" vm="793">
        <f>IFERROR(INDEX(TalentBooksImg[Icon], MATCH(_xlfn.CONCAT("teachingsof",Talent_Books[[#This Row],[NameHelper]]), TalentBooksImg[Name], 0)), "")</f>
        <v>#VALUE!</v>
      </c>
      <c r="P13" s="149">
        <f>IFERROR(INDEX(TalentBooksInv[Quantity], MATCH(Talent_Books[[#This Row],[2* Book2]], TalentBooksInv[Icon], 0)), "")</f>
        <v>115</v>
      </c>
      <c r="Q13" s="144" t="e" vm="391">
        <f>IFERROR(INDEX(TalentBooksImg[Icon], MATCH(_xlfn.CONCAT("philosophiesof",Talent_Books[[#This Row],[NameHelper]]), TalentBooksImg[Name], 0)), "")</f>
        <v>#VALUE!</v>
      </c>
      <c r="R13" s="36">
        <f>Talent_Books[[#This Row],[4* Need]]-Talent_Books[[#This Row],[4* Need2]]</f>
        <v>81</v>
      </c>
      <c r="S13" s="156" t="e" vm="791">
        <f>IFERROR(INDEX(TalentBooksImg[Icon], MATCH(_xlfn.CONCAT("guideto",Talent_Books[[#This Row],[NameHelper]]), TalentBooksImg[Name], 0)), "")</f>
        <v>#VALUE!</v>
      </c>
      <c r="T13" s="166">
        <f>Talent_Books[[#This Row],[3* Need]]-Talent_Books[[#This Row],[3* Need2]]</f>
        <v>-31</v>
      </c>
      <c r="U13" s="36" t="e" vm="793">
        <f>IFERROR(INDEX(TalentBooksImg[Icon], MATCH(_xlfn.CONCAT("teachingsof",Talent_Books[[#This Row],[NameHelper]]), TalentBooksImg[Name], 0)), "")</f>
        <v>#VALUE!</v>
      </c>
      <c r="V13" s="149">
        <f>Talent_Books[[#This Row],[2* Need]]-Talent_Books[[#This Row],[2* Need2]]</f>
        <v>-103</v>
      </c>
    </row>
    <row r="14" spans="1:22" ht="30" customHeight="1" x14ac:dyDescent="0.25">
      <c r="A14" s="144">
        <f>SUBTOTAL(3,$B$4:Talent_Books[[#This Row],[Book Region]])</f>
        <v>11</v>
      </c>
      <c r="B14" s="36" t="s">
        <v>716</v>
      </c>
      <c r="C14" s="164" t="s">
        <v>835</v>
      </c>
      <c r="D14" s="165">
        <v>3</v>
      </c>
      <c r="E14" s="144" t="e" vm="31">
        <f>IFERROR(INDEX(TalentBooksImg[Icon], MATCH(_xlfn.CONCAT("philosophiesof",Talent_Books[[#This Row],[NameHelper]]), TalentBooksImg[Name], 0)), "")</f>
        <v>#VALUE!</v>
      </c>
      <c r="F14" s="36">
        <f>SUMIF(TalentBook[Book],Talent_Books[[#This Row],[4* Book]],TalentBook[4* Book])</f>
        <v>150</v>
      </c>
      <c r="G14" s="156" t="e" vm="796">
        <f>IFERROR(INDEX(TalentBooksImg[Icon], MATCH(_xlfn.CONCAT("guideto",Talent_Books[[#This Row],[NameHelper]]), TalentBooksImg[Name], 0)), "")</f>
        <v>#VALUE!</v>
      </c>
      <c r="H14" s="166">
        <f>SUMIF(TalentBook[Book],Talent_Books[[#This Row],[4* Book]],TalentBook[3* Book])</f>
        <v>126</v>
      </c>
      <c r="I14" s="36" t="e" vm="798">
        <f>IFERROR(INDEX(TalentBooksImg[Icon], MATCH(_xlfn.CONCAT("teachingsof",Talent_Books[[#This Row],[NameHelper]]), TalentBooksImg[Name], 0)), "")</f>
        <v>#VALUE!</v>
      </c>
      <c r="J14" s="149">
        <f>SUMIF(TalentBook[Book],Talent_Books[[#This Row],[4* Book]],TalentBook[2* Book])</f>
        <v>18</v>
      </c>
      <c r="K14" s="144" t="e" vm="31">
        <f>IFERROR(INDEX(TalentBooksImg[Icon], MATCH(_xlfn.CONCAT("philosophiesof",Talent_Books[[#This Row],[NameHelper]]), TalentBooksImg[Name], 0)), "")</f>
        <v>#VALUE!</v>
      </c>
      <c r="L14" s="36">
        <f>IFERROR(INDEX(TalentBooksInv[Quantity], MATCH(Talent_Books[[#This Row],[4* Book2]], TalentBooksInv[Icon], 0)), "")</f>
        <v>3</v>
      </c>
      <c r="M14" s="156" t="e" vm="796">
        <f>IFERROR(INDEX(TalentBooksImg[Icon], MATCH(_xlfn.CONCAT("guideto",Talent_Books[[#This Row],[NameHelper]]), TalentBooksImg[Name], 0)), "")</f>
        <v>#VALUE!</v>
      </c>
      <c r="N14" s="166">
        <f>IFERROR(INDEX(TalentBooksInv[Quantity], MATCH(Talent_Books[[#This Row],[3* Book2]], TalentBooksInv[Icon], 0)), "")</f>
        <v>31</v>
      </c>
      <c r="O14" s="36" t="e" vm="798">
        <f>IFERROR(INDEX(TalentBooksImg[Icon], MATCH(_xlfn.CONCAT("teachingsof",Talent_Books[[#This Row],[NameHelper]]), TalentBooksImg[Name], 0)), "")</f>
        <v>#VALUE!</v>
      </c>
      <c r="P14" s="149">
        <f>IFERROR(INDEX(TalentBooksInv[Quantity], MATCH(Talent_Books[[#This Row],[2* Book2]], TalentBooksInv[Icon], 0)), "")</f>
        <v>91</v>
      </c>
      <c r="Q14" s="144" t="e" vm="31">
        <f>IFERROR(INDEX(TalentBooksImg[Icon], MATCH(_xlfn.CONCAT("philosophiesof",Talent_Books[[#This Row],[NameHelper]]), TalentBooksImg[Name], 0)), "")</f>
        <v>#VALUE!</v>
      </c>
      <c r="R14" s="36">
        <f>Talent_Books[[#This Row],[4* Need]]-Talent_Books[[#This Row],[4* Need2]]</f>
        <v>147</v>
      </c>
      <c r="S14" s="156" t="e" vm="796">
        <f>IFERROR(INDEX(TalentBooksImg[Icon], MATCH(_xlfn.CONCAT("guideto",Talent_Books[[#This Row],[NameHelper]]), TalentBooksImg[Name], 0)), "")</f>
        <v>#VALUE!</v>
      </c>
      <c r="T14" s="166">
        <f>Talent_Books[[#This Row],[3* Need]]-Talent_Books[[#This Row],[3* Need2]]</f>
        <v>95</v>
      </c>
      <c r="U14" s="36" t="e" vm="798">
        <f>IFERROR(INDEX(TalentBooksImg[Icon], MATCH(_xlfn.CONCAT("teachingsof",Talent_Books[[#This Row],[NameHelper]]), TalentBooksImg[Name], 0)), "")</f>
        <v>#VALUE!</v>
      </c>
      <c r="V14" s="149">
        <f>Talent_Books[[#This Row],[2* Need]]-Talent_Books[[#This Row],[2* Need2]]</f>
        <v>-73</v>
      </c>
    </row>
    <row r="15" spans="1:22" ht="30" customHeight="1" x14ac:dyDescent="0.25">
      <c r="A15" s="144">
        <f>SUBTOTAL(3,$B$4:Talent_Books[[#This Row],[Book Region]])</f>
        <v>12</v>
      </c>
      <c r="B15" s="36" t="s">
        <v>716</v>
      </c>
      <c r="C15" s="164" t="s">
        <v>37</v>
      </c>
      <c r="D15" s="165">
        <v>3</v>
      </c>
      <c r="E15" s="144" t="e" vm="271">
        <f>IFERROR(INDEX(TalentBooksImg[Icon], MATCH(_xlfn.CONCAT("philosophiesof",Talent_Books[[#This Row],[NameHelper]]), TalentBooksImg[Name], 0)), "")</f>
        <v>#VALUE!</v>
      </c>
      <c r="F15" s="36">
        <f>SUMIF(TalentBook[Book],Talent_Books[[#This Row],[4* Book]],TalentBook[4* Book])</f>
        <v>44</v>
      </c>
      <c r="G15" s="156" t="e" vm="799">
        <f>IFERROR(INDEX(TalentBooksImg[Icon], MATCH(_xlfn.CONCAT("guideto",Talent_Books[[#This Row],[NameHelper]]), TalentBooksImg[Name], 0)), "")</f>
        <v>#VALUE!</v>
      </c>
      <c r="H15" s="166">
        <f>SUMIF(TalentBook[Book],Talent_Books[[#This Row],[4* Book]],TalentBook[3* Book])</f>
        <v>42</v>
      </c>
      <c r="I15" s="36" t="e" vm="800">
        <f>IFERROR(INDEX(TalentBooksImg[Icon], MATCH(_xlfn.CONCAT("teachingsof",Talent_Books[[#This Row],[NameHelper]]), TalentBooksImg[Name], 0)), "")</f>
        <v>#VALUE!</v>
      </c>
      <c r="J15" s="149">
        <f>SUMIF(TalentBook[Book],Talent_Books[[#This Row],[4* Book]],TalentBook[2* Book])</f>
        <v>6</v>
      </c>
      <c r="K15" s="144" t="e" vm="271">
        <f>IFERROR(INDEX(TalentBooksImg[Icon], MATCH(_xlfn.CONCAT("philosophiesof",Talent_Books[[#This Row],[NameHelper]]), TalentBooksImg[Name], 0)), "")</f>
        <v>#VALUE!</v>
      </c>
      <c r="L15" s="36">
        <f>IFERROR(INDEX(TalentBooksInv[Quantity], MATCH(Talent_Books[[#This Row],[4* Book2]], TalentBooksInv[Icon], 0)), "")</f>
        <v>36</v>
      </c>
      <c r="M15" s="156" t="e" vm="799">
        <f>IFERROR(INDEX(TalentBooksImg[Icon], MATCH(_xlfn.CONCAT("guideto",Talent_Books[[#This Row],[NameHelper]]), TalentBooksImg[Name], 0)), "")</f>
        <v>#VALUE!</v>
      </c>
      <c r="N15" s="166">
        <f>IFERROR(INDEX(TalentBooksInv[Quantity], MATCH(Talent_Books[[#This Row],[3* Book2]], TalentBooksInv[Icon], 0)), "")</f>
        <v>31</v>
      </c>
      <c r="O15" s="36" t="e" vm="800">
        <f>IFERROR(INDEX(TalentBooksImg[Icon], MATCH(_xlfn.CONCAT("teachingsof",Talent_Books[[#This Row],[NameHelper]]), TalentBooksImg[Name], 0)), "")</f>
        <v>#VALUE!</v>
      </c>
      <c r="P15" s="149">
        <f>IFERROR(INDEX(TalentBooksInv[Quantity], MATCH(Talent_Books[[#This Row],[2* Book2]], TalentBooksInv[Icon], 0)), "")</f>
        <v>32</v>
      </c>
      <c r="Q15" s="144" t="e" vm="271">
        <f>IFERROR(INDEX(TalentBooksImg[Icon], MATCH(_xlfn.CONCAT("philosophiesof",Talent_Books[[#This Row],[NameHelper]]), TalentBooksImg[Name], 0)), "")</f>
        <v>#VALUE!</v>
      </c>
      <c r="R15" s="36">
        <f>Talent_Books[[#This Row],[4* Need]]-Talent_Books[[#This Row],[4* Need2]]</f>
        <v>8</v>
      </c>
      <c r="S15" s="156" t="e" vm="799">
        <f>IFERROR(INDEX(TalentBooksImg[Icon], MATCH(_xlfn.CONCAT("guideto",Talent_Books[[#This Row],[NameHelper]]), TalentBooksImg[Name], 0)), "")</f>
        <v>#VALUE!</v>
      </c>
      <c r="T15" s="166">
        <f>Talent_Books[[#This Row],[3* Need]]-Talent_Books[[#This Row],[3* Need2]]</f>
        <v>11</v>
      </c>
      <c r="U15" s="36" t="e" vm="800">
        <f>IFERROR(INDEX(TalentBooksImg[Icon], MATCH(_xlfn.CONCAT("teachingsof",Talent_Books[[#This Row],[NameHelper]]), TalentBooksImg[Name], 0)), "")</f>
        <v>#VALUE!</v>
      </c>
      <c r="V15" s="149">
        <f>Talent_Books[[#This Row],[2* Need]]-Talent_Books[[#This Row],[2* Need2]]</f>
        <v>-26</v>
      </c>
    </row>
    <row r="16" spans="1:22" ht="30" customHeight="1" x14ac:dyDescent="0.25">
      <c r="A16" s="144">
        <f>SUBTOTAL(3,$B$4:Talent_Books[[#This Row],[Book Region]])</f>
        <v>13</v>
      </c>
      <c r="B16" s="36" t="s">
        <v>717</v>
      </c>
      <c r="C16" s="164" t="s">
        <v>836</v>
      </c>
      <c r="D16" s="165">
        <v>4</v>
      </c>
      <c r="E16" s="144" t="e" vm="434">
        <f>IFERROR(INDEX(TalentBooksImg[Icon], MATCH(_xlfn.CONCAT("philosophiesof",Talent_Books[[#This Row],[NameHelper]]), TalentBooksImg[Name], 0)), "")</f>
        <v>#VALUE!</v>
      </c>
      <c r="F16" s="36">
        <f>SUMIF(TalentBook[Book],Talent_Books[[#This Row],[4* Book]],TalentBook[4* Book])</f>
        <v>0</v>
      </c>
      <c r="G16" s="156" t="e" vm="801">
        <f>IFERROR(INDEX(TalentBooksImg[Icon], MATCH(_xlfn.CONCAT("guideto",Talent_Books[[#This Row],[NameHelper]]), TalentBooksImg[Name], 0)), "")</f>
        <v>#VALUE!</v>
      </c>
      <c r="H16" s="166">
        <f>SUMIF(TalentBook[Book],Talent_Books[[#This Row],[4* Book]],TalentBook[3* Book])</f>
        <v>0</v>
      </c>
      <c r="I16" s="36" t="e" vm="802">
        <f>IFERROR(INDEX(TalentBooksImg[Icon], MATCH(_xlfn.CONCAT("teachingsof",Talent_Books[[#This Row],[NameHelper]]), TalentBooksImg[Name], 0)), "")</f>
        <v>#VALUE!</v>
      </c>
      <c r="J16" s="149">
        <f>SUMIF(TalentBook[Book],Talent_Books[[#This Row],[4* Book]],TalentBook[2* Book])</f>
        <v>0</v>
      </c>
      <c r="K16" s="144" t="e" vm="434">
        <f>IFERROR(INDEX(TalentBooksImg[Icon], MATCH(_xlfn.CONCAT("philosophiesof",Talent_Books[[#This Row],[NameHelper]]), TalentBooksImg[Name], 0)), "")</f>
        <v>#VALUE!</v>
      </c>
      <c r="L16" s="36">
        <f>IFERROR(INDEX(TalentBooksInv[Quantity], MATCH(Talent_Books[[#This Row],[4* Book2]], TalentBooksInv[Icon], 0)), "")</f>
        <v>15</v>
      </c>
      <c r="M16" s="156" t="e" vm="801">
        <f>IFERROR(INDEX(TalentBooksImg[Icon], MATCH(_xlfn.CONCAT("guideto",Talent_Books[[#This Row],[NameHelper]]), TalentBooksImg[Name], 0)), "")</f>
        <v>#VALUE!</v>
      </c>
      <c r="N16" s="166">
        <f>IFERROR(INDEX(TalentBooksInv[Quantity], MATCH(Talent_Books[[#This Row],[3* Book2]], TalentBooksInv[Icon], 0)), "")</f>
        <v>42</v>
      </c>
      <c r="O16" s="36" t="e" vm="802">
        <f>IFERROR(INDEX(TalentBooksImg[Icon], MATCH(_xlfn.CONCAT("teachingsof",Talent_Books[[#This Row],[NameHelper]]), TalentBooksImg[Name], 0)), "")</f>
        <v>#VALUE!</v>
      </c>
      <c r="P16" s="149">
        <f>IFERROR(INDEX(TalentBooksInv[Quantity], MATCH(Talent_Books[[#This Row],[2* Book2]], TalentBooksInv[Icon], 0)), "")</f>
        <v>45</v>
      </c>
      <c r="Q16" s="144" t="e" vm="434">
        <f>IFERROR(INDEX(TalentBooksImg[Icon], MATCH(_xlfn.CONCAT("philosophiesof",Talent_Books[[#This Row],[NameHelper]]), TalentBooksImg[Name], 0)), "")</f>
        <v>#VALUE!</v>
      </c>
      <c r="R16" s="36">
        <f>Talent_Books[[#This Row],[4* Need]]-Talent_Books[[#This Row],[4* Need2]]</f>
        <v>-15</v>
      </c>
      <c r="S16" s="156" t="e" vm="801">
        <f>IFERROR(INDEX(TalentBooksImg[Icon], MATCH(_xlfn.CONCAT("guideto",Talent_Books[[#This Row],[NameHelper]]), TalentBooksImg[Name], 0)), "")</f>
        <v>#VALUE!</v>
      </c>
      <c r="T16" s="166">
        <f>Talent_Books[[#This Row],[3* Need]]-Talent_Books[[#This Row],[3* Need2]]</f>
        <v>-42</v>
      </c>
      <c r="U16" s="36" t="e" vm="802">
        <f>IFERROR(INDEX(TalentBooksImg[Icon], MATCH(_xlfn.CONCAT("teachingsof",Talent_Books[[#This Row],[NameHelper]]), TalentBooksImg[Name], 0)), "")</f>
        <v>#VALUE!</v>
      </c>
      <c r="V16" s="149">
        <f>Talent_Books[[#This Row],[2* Need]]-Talent_Books[[#This Row],[2* Need2]]</f>
        <v>-45</v>
      </c>
    </row>
    <row r="17" spans="1:22" ht="30" customHeight="1" x14ac:dyDescent="0.25">
      <c r="A17" s="144">
        <f>SUBTOTAL(3,$B$4:Talent_Books[[#This Row],[Book Region]])</f>
        <v>14</v>
      </c>
      <c r="B17" s="36" t="s">
        <v>717</v>
      </c>
      <c r="C17" s="164" t="s">
        <v>837</v>
      </c>
      <c r="D17" s="165">
        <v>4</v>
      </c>
      <c r="E17" s="144" t="e" vm="94">
        <f>IFERROR(INDEX(TalentBooksImg[Icon], MATCH(_xlfn.CONCAT("philosophiesof",Talent_Books[[#This Row],[NameHelper]]), TalentBooksImg[Name], 0)), "")</f>
        <v>#VALUE!</v>
      </c>
      <c r="F17" s="36">
        <f>SUMIF(TalentBook[Book],Talent_Books[[#This Row],[4* Book]],TalentBook[4* Book])</f>
        <v>84</v>
      </c>
      <c r="G17" s="156" t="e" vm="803">
        <f>IFERROR(INDEX(TalentBooksImg[Icon], MATCH(_xlfn.CONCAT("guideto",Talent_Books[[#This Row],[NameHelper]]), TalentBooksImg[Name], 0)), "")</f>
        <v>#VALUE!</v>
      </c>
      <c r="H17" s="166">
        <f>SUMIF(TalentBook[Book],Talent_Books[[#This Row],[4* Book]],TalentBook[3* Book])</f>
        <v>42</v>
      </c>
      <c r="I17" s="36" t="e" vm="804">
        <f>IFERROR(INDEX(TalentBooksImg[Icon], MATCH(_xlfn.CONCAT("teachingsof",Talent_Books[[#This Row],[NameHelper]]), TalentBooksImg[Name], 0)), "")</f>
        <v>#VALUE!</v>
      </c>
      <c r="J17" s="149">
        <f>SUMIF(TalentBook[Book],Talent_Books[[#This Row],[4* Book]],TalentBook[2* Book])</f>
        <v>6</v>
      </c>
      <c r="K17" s="144" t="e" vm="94">
        <f>IFERROR(INDEX(TalentBooksImg[Icon], MATCH(_xlfn.CONCAT("philosophiesof",Talent_Books[[#This Row],[NameHelper]]), TalentBooksImg[Name], 0)), "")</f>
        <v>#VALUE!</v>
      </c>
      <c r="L17" s="36">
        <f>IFERROR(INDEX(TalentBooksInv[Quantity], MATCH(Talent_Books[[#This Row],[4* Book2]], TalentBooksInv[Icon], 0)), "")</f>
        <v>19</v>
      </c>
      <c r="M17" s="156" t="e" vm="803">
        <f>IFERROR(INDEX(TalentBooksImg[Icon], MATCH(_xlfn.CONCAT("guideto",Talent_Books[[#This Row],[NameHelper]]), TalentBooksImg[Name], 0)), "")</f>
        <v>#VALUE!</v>
      </c>
      <c r="N17" s="166">
        <f>IFERROR(INDEX(TalentBooksInv[Quantity], MATCH(Talent_Books[[#This Row],[3* Book2]], TalentBooksInv[Icon], 0)), "")</f>
        <v>112</v>
      </c>
      <c r="O17" s="36" t="e" vm="804">
        <f>IFERROR(INDEX(TalentBooksImg[Icon], MATCH(_xlfn.CONCAT("teachingsof",Talent_Books[[#This Row],[NameHelper]]), TalentBooksImg[Name], 0)), "")</f>
        <v>#VALUE!</v>
      </c>
      <c r="P17" s="149">
        <f>IFERROR(INDEX(TalentBooksInv[Quantity], MATCH(Talent_Books[[#This Row],[2* Book2]], TalentBooksInv[Icon], 0)), "")</f>
        <v>154</v>
      </c>
      <c r="Q17" s="144" t="e" vm="94">
        <f>IFERROR(INDEX(TalentBooksImg[Icon], MATCH(_xlfn.CONCAT("philosophiesof",Talent_Books[[#This Row],[NameHelper]]), TalentBooksImg[Name], 0)), "")</f>
        <v>#VALUE!</v>
      </c>
      <c r="R17" s="36">
        <f>Talent_Books[[#This Row],[4* Need]]-Talent_Books[[#This Row],[4* Need2]]</f>
        <v>65</v>
      </c>
      <c r="S17" s="156" t="e" vm="803">
        <f>IFERROR(INDEX(TalentBooksImg[Icon], MATCH(_xlfn.CONCAT("guideto",Talent_Books[[#This Row],[NameHelper]]), TalentBooksImg[Name], 0)), "")</f>
        <v>#VALUE!</v>
      </c>
      <c r="T17" s="166">
        <f>Talent_Books[[#This Row],[3* Need]]-Talent_Books[[#This Row],[3* Need2]]</f>
        <v>-70</v>
      </c>
      <c r="U17" s="36" t="e" vm="804">
        <f>IFERROR(INDEX(TalentBooksImg[Icon], MATCH(_xlfn.CONCAT("teachingsof",Talent_Books[[#This Row],[NameHelper]]), TalentBooksImg[Name], 0)), "")</f>
        <v>#VALUE!</v>
      </c>
      <c r="V17" s="149">
        <f>Talent_Books[[#This Row],[2* Need]]-Talent_Books[[#This Row],[2* Need2]]</f>
        <v>-148</v>
      </c>
    </row>
    <row r="18" spans="1:22" ht="30" customHeight="1" thickBot="1" x14ac:dyDescent="0.3">
      <c r="A18" s="150">
        <f>SUBTOTAL(3,$B$4:Talent_Books[[#This Row],[Book Region]])</f>
        <v>15</v>
      </c>
      <c r="B18" s="151" t="s">
        <v>717</v>
      </c>
      <c r="C18" s="167" t="s">
        <v>838</v>
      </c>
      <c r="D18" s="168">
        <v>4</v>
      </c>
      <c r="E18" s="144" t="e" vm="260">
        <f>IFERROR(INDEX(TalentBooksImg[Icon], MATCH(_xlfn.CONCAT("philosophiesof",Talent_Books[[#This Row],[NameHelper]]), TalentBooksImg[Name], 0)), "")</f>
        <v>#VALUE!</v>
      </c>
      <c r="F18" s="36">
        <f>SUMIF(TalentBook[Book],Talent_Books[[#This Row],[4* Book]],TalentBook[4* Book])</f>
        <v>56</v>
      </c>
      <c r="G18" s="156" t="e" vm="805">
        <f>IFERROR(INDEX(TalentBooksImg[Icon], MATCH(_xlfn.CONCAT("guideto",Talent_Books[[#This Row],[NameHelper]]), TalentBooksImg[Name], 0)), "")</f>
        <v>#VALUE!</v>
      </c>
      <c r="H18" s="166">
        <f>SUMIF(TalentBook[Book],Talent_Books[[#This Row],[4* Book]],TalentBook[3* Book])</f>
        <v>42</v>
      </c>
      <c r="I18" s="36" t="e" vm="806">
        <f>IFERROR(INDEX(TalentBooksImg[Icon], MATCH(_xlfn.CONCAT("teachingsof",Talent_Books[[#This Row],[NameHelper]]), TalentBooksImg[Name], 0)), "")</f>
        <v>#VALUE!</v>
      </c>
      <c r="J18" s="149">
        <f>SUMIF(TalentBook[Book],Talent_Books[[#This Row],[4* Book]],TalentBook[2* Book])</f>
        <v>6</v>
      </c>
      <c r="K18" s="144" t="e" vm="260">
        <f>IFERROR(INDEX(TalentBooksImg[Icon], MATCH(_xlfn.CONCAT("philosophiesof",Talent_Books[[#This Row],[NameHelper]]), TalentBooksImg[Name], 0)), "")</f>
        <v>#VALUE!</v>
      </c>
      <c r="L18" s="36">
        <f>IFERROR(INDEX(TalentBooksInv[Quantity], MATCH(Talent_Books[[#This Row],[4* Book2]], TalentBooksInv[Icon], 0)), "")</f>
        <v>28</v>
      </c>
      <c r="M18" s="156" t="e" vm="805">
        <f>IFERROR(INDEX(TalentBooksImg[Icon], MATCH(_xlfn.CONCAT("guideto",Talent_Books[[#This Row],[NameHelper]]), TalentBooksImg[Name], 0)), "")</f>
        <v>#VALUE!</v>
      </c>
      <c r="N18" s="166">
        <f>IFERROR(INDEX(TalentBooksInv[Quantity], MATCH(Talent_Books[[#This Row],[3* Book2]], TalentBooksInv[Icon], 0)), "")</f>
        <v>51</v>
      </c>
      <c r="O18" s="36" t="e" vm="806">
        <f>IFERROR(INDEX(TalentBooksImg[Icon], MATCH(_xlfn.CONCAT("teachingsof",Talent_Books[[#This Row],[NameHelper]]), TalentBooksImg[Name], 0)), "")</f>
        <v>#VALUE!</v>
      </c>
      <c r="P18" s="149">
        <f>IFERROR(INDEX(TalentBooksInv[Quantity], MATCH(Talent_Books[[#This Row],[2* Book2]], TalentBooksInv[Icon], 0)), "")</f>
        <v>121</v>
      </c>
      <c r="Q18" s="144" t="e" vm="260">
        <f>IFERROR(INDEX(TalentBooksImg[Icon], MATCH(_xlfn.CONCAT("philosophiesof",Talent_Books[[#This Row],[NameHelper]]), TalentBooksImg[Name], 0)), "")</f>
        <v>#VALUE!</v>
      </c>
      <c r="R18" s="36">
        <f>Talent_Books[[#This Row],[4* Need]]-Talent_Books[[#This Row],[4* Need2]]</f>
        <v>28</v>
      </c>
      <c r="S18" s="156" t="e" vm="805">
        <f>IFERROR(INDEX(TalentBooksImg[Icon], MATCH(_xlfn.CONCAT("guideto",Talent_Books[[#This Row],[NameHelper]]), TalentBooksImg[Name], 0)), "")</f>
        <v>#VALUE!</v>
      </c>
      <c r="T18" s="166">
        <f>Talent_Books[[#This Row],[3* Need]]-Talent_Books[[#This Row],[3* Need2]]</f>
        <v>-9</v>
      </c>
      <c r="U18" s="36" t="e" vm="806">
        <f>IFERROR(INDEX(TalentBooksImg[Icon], MATCH(_xlfn.CONCAT("teachingsof",Talent_Books[[#This Row],[NameHelper]]), TalentBooksImg[Name], 0)), "")</f>
        <v>#VALUE!</v>
      </c>
      <c r="V18" s="149">
        <f>Talent_Books[[#This Row],[2* Need]]-Talent_Books[[#This Row],[2* Need2]]</f>
        <v>-115</v>
      </c>
    </row>
    <row r="19" spans="1:22" ht="16.5" thickBot="1" x14ac:dyDescent="0.3">
      <c r="A19" s="153"/>
      <c r="B19" s="154"/>
      <c r="C19" s="154"/>
      <c r="D19" s="154" t="s">
        <v>706</v>
      </c>
      <c r="E19" s="153"/>
      <c r="F19" s="154">
        <f>SUMIF(Talent_Books[4* Need],"&gt;=0")</f>
        <v>1810</v>
      </c>
      <c r="G19" s="169"/>
      <c r="H19" s="170">
        <f>SUMIF(Talent_Books[3* Need],"&gt;=0")</f>
        <v>1428</v>
      </c>
      <c r="I19" s="154"/>
      <c r="J19" s="155">
        <f>SUMIF(Talent_Books[2* Need],"&gt;=0")</f>
        <v>186</v>
      </c>
      <c r="K19" s="153"/>
      <c r="L19" s="154">
        <f>SUMIF(Talent_Books[4* Need2],"&gt;=0")</f>
        <v>250</v>
      </c>
      <c r="M19" s="169"/>
      <c r="N19" s="170">
        <f>SUMIF(Talent_Books[3* Need2],"&gt;=0")</f>
        <v>1100</v>
      </c>
      <c r="O19" s="154"/>
      <c r="P19" s="155">
        <f>SUMIF(Talent_Books[2* Need2],"&gt;=0")</f>
        <v>1341</v>
      </c>
      <c r="Q19" s="153"/>
      <c r="R19" s="154">
        <f>SUMIF(Talent_Books[4* Need3],"&gt;=0")</f>
        <v>1575</v>
      </c>
      <c r="S19" s="169"/>
      <c r="T19" s="170">
        <f>SUMIF(Talent_Books[3* Need3],"&gt;=0")</f>
        <v>560</v>
      </c>
      <c r="U19" s="154"/>
      <c r="V19" s="155">
        <f>SUMIF(Talent_Books[2* Need3],"&gt;=0")</f>
        <v>0</v>
      </c>
    </row>
  </sheetData>
  <mergeCells count="4">
    <mergeCell ref="A1:V1"/>
    <mergeCell ref="E2:J2"/>
    <mergeCell ref="K2:P2"/>
    <mergeCell ref="Q2:V2"/>
  </mergeCells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63D3E-AECD-4E2F-85D2-D8BBD6D43DE2}">
  <sheetPr codeName="Sheet5">
    <tabColor rgb="FFFFC000"/>
  </sheetPr>
  <dimension ref="A1:I33"/>
  <sheetViews>
    <sheetView workbookViewId="0">
      <selection activeCell="H3" sqref="H3"/>
    </sheetView>
  </sheetViews>
  <sheetFormatPr defaultColWidth="9.140625" defaultRowHeight="15.75" x14ac:dyDescent="0.25"/>
  <cols>
    <col min="1" max="1" width="9.140625" style="36"/>
    <col min="2" max="2" width="36.42578125" style="36" bestFit="1" customWidth="1"/>
    <col min="3" max="3" width="28.7109375" style="36" hidden="1" customWidth="1"/>
    <col min="4" max="5" width="12.7109375" style="36" customWidth="1"/>
    <col min="6" max="6" width="17.7109375" style="36" bestFit="1" customWidth="1"/>
    <col min="7" max="7" width="18.5703125" style="36" bestFit="1" customWidth="1"/>
    <col min="8" max="8" width="16" style="36" customWidth="1"/>
    <col min="9" max="9" width="19" style="36" bestFit="1" customWidth="1"/>
    <col min="10" max="10" width="9.140625" style="36"/>
    <col min="11" max="11" width="9.140625" style="36" customWidth="1"/>
    <col min="12" max="16384" width="9.140625" style="36"/>
  </cols>
  <sheetData>
    <row r="1" spans="1:9" ht="36" thickBot="1" x14ac:dyDescent="0.3">
      <c r="A1" s="213" t="s">
        <v>4</v>
      </c>
      <c r="B1" s="214"/>
      <c r="C1" s="214"/>
      <c r="D1" s="214"/>
      <c r="E1" s="214"/>
      <c r="F1" s="214"/>
      <c r="G1" s="214"/>
      <c r="H1" s="214"/>
      <c r="I1" s="171" t="e" vm="733">
        <f>ImgDatabase!$AQ$5</f>
        <v>#VALUE!</v>
      </c>
    </row>
    <row r="2" spans="1:9" ht="30" customHeight="1" thickBot="1" x14ac:dyDescent="0.3">
      <c r="A2" s="153" t="s">
        <v>670</v>
      </c>
      <c r="B2" s="154" t="s">
        <v>4</v>
      </c>
      <c r="C2" s="154" t="s">
        <v>671</v>
      </c>
      <c r="D2" s="142" t="s">
        <v>718</v>
      </c>
      <c r="E2" s="142" t="s">
        <v>672</v>
      </c>
      <c r="F2" s="153" t="s">
        <v>679</v>
      </c>
      <c r="G2" s="154" t="s">
        <v>843</v>
      </c>
      <c r="H2" s="154" t="s">
        <v>844</v>
      </c>
      <c r="I2" s="172" t="s">
        <v>839</v>
      </c>
    </row>
    <row r="3" spans="1:9" ht="30" customHeight="1" x14ac:dyDescent="0.25">
      <c r="A3" s="144">
        <f>SUBTOTAL(3,$B$3:Weekly_Boss[[#This Row],[Weekly Boss]])</f>
        <v>1</v>
      </c>
      <c r="B3" s="173" t="s">
        <v>84</v>
      </c>
      <c r="C3" s="45" t="s">
        <v>85</v>
      </c>
      <c r="D3" s="36" t="e" vm="52">
        <f>IFERROR(INDEX(WeeklyBossImg[Icon], MATCH(Weekly_Boss[[#This Row],[NameHelper]], WeeklyBossImg[Name], 0)), "")</f>
        <v>#VALUE!</v>
      </c>
      <c r="E3" s="145">
        <v>1</v>
      </c>
      <c r="F3" s="146">
        <f>SUMIF(WeeklyBoss[Material],Weekly_Boss[[#This Row],[Weekly Boss Material]],WeeklyBoss[Need to Farm])</f>
        <v>19</v>
      </c>
      <c r="G3" s="147">
        <f>IFERROR(INDEX(WeeklyBossInv[Quantity], MATCH(Weekly_Boss[[#This Row],[Weekly Boss Material]],WeeklyBossInv[Icon], 0)), "")</f>
        <v>26</v>
      </c>
      <c r="H3" s="147">
        <f t="shared" ref="H3:H32" si="0">F3-G3</f>
        <v>-7</v>
      </c>
      <c r="I3" s="212">
        <f>IF(SUMIF(H3:H5,"&gt;=0")&lt;=(ABS(SUMIF(H3:H5,"&lt;=0"))),IF((SUMIF(H3:H5,"&lt;=0"))&lt;=0,SUMIF(H3:H5,"&gt;=0"),0),ABS(SUMIF(H3:H5,"&lt;=0")))</f>
        <v>5</v>
      </c>
    </row>
    <row r="4" spans="1:9" ht="30" customHeight="1" x14ac:dyDescent="0.25">
      <c r="A4" s="144">
        <f>SUBTOTAL(3,$B$3:Weekly_Boss[[#This Row],[Weekly Boss]])</f>
        <v>2</v>
      </c>
      <c r="B4" s="173" t="s">
        <v>84</v>
      </c>
      <c r="C4" s="45" t="s">
        <v>98</v>
      </c>
      <c r="D4" s="36" t="e" vm="531">
        <f>IFERROR(INDEX(WeeklyBossImg[Icon], MATCH(Weekly_Boss[[#This Row],[NameHelper]], WeeklyBossImg[Name], 0)), "")</f>
        <v>#VALUE!</v>
      </c>
      <c r="E4" s="145">
        <v>1</v>
      </c>
      <c r="F4" s="144">
        <f>SUMIF(WeeklyBoss[Material],Weekly_Boss[[#This Row],[Weekly Boss Material]],WeeklyBoss[Need to Farm])</f>
        <v>22</v>
      </c>
      <c r="G4" s="36">
        <f>IFERROR(INDEX(WeeklyBossInv[Quantity], MATCH(Weekly_Boss[[#This Row],[Weekly Boss Material]],WeeklyBossInv[Icon], 0)), "")</f>
        <v>19</v>
      </c>
      <c r="H4" s="36">
        <f>F4-G4</f>
        <v>3</v>
      </c>
      <c r="I4" s="212"/>
    </row>
    <row r="5" spans="1:9" ht="30" customHeight="1" x14ac:dyDescent="0.25">
      <c r="A5" s="144">
        <f>SUBTOTAL(3,$B$3:Weekly_Boss[[#This Row],[Weekly Boss]])</f>
        <v>3</v>
      </c>
      <c r="B5" s="173" t="s">
        <v>84</v>
      </c>
      <c r="C5" s="45" t="s">
        <v>111</v>
      </c>
      <c r="D5" s="36" t="e" vm="292">
        <f>IFERROR(INDEX(WeeklyBossImg[Icon], MATCH(Weekly_Boss[[#This Row],[NameHelper]], WeeklyBossImg[Name], 0)), "")</f>
        <v>#VALUE!</v>
      </c>
      <c r="E5" s="145">
        <v>1</v>
      </c>
      <c r="F5" s="144">
        <f>SUMIF(WeeklyBoss[Material],Weekly_Boss[[#This Row],[Weekly Boss Material]],WeeklyBoss[Need to Farm])</f>
        <v>32</v>
      </c>
      <c r="G5" s="36">
        <f>IFERROR(INDEX(WeeklyBossInv[Quantity], MATCH(Weekly_Boss[[#This Row],[Weekly Boss Material]],WeeklyBossInv[Icon], 0)), "")</f>
        <v>30</v>
      </c>
      <c r="H5" s="36">
        <f t="shared" si="0"/>
        <v>2</v>
      </c>
      <c r="I5" s="212"/>
    </row>
    <row r="6" spans="1:9" ht="30" customHeight="1" x14ac:dyDescent="0.25">
      <c r="A6" s="144">
        <f>SUBTOTAL(3,$B$3:Weekly_Boss[[#This Row],[Weekly Boss]])</f>
        <v>4</v>
      </c>
      <c r="B6" s="173" t="s">
        <v>124</v>
      </c>
      <c r="C6" s="45" t="s">
        <v>125</v>
      </c>
      <c r="D6" s="36" t="e" vm="282">
        <f>IFERROR(INDEX(WeeklyBossImg[Icon], MATCH(Weekly_Boss[[#This Row],[NameHelper]], WeeklyBossImg[Name], 0)), "")</f>
        <v>#VALUE!</v>
      </c>
      <c r="E6" s="145">
        <v>1.01</v>
      </c>
      <c r="F6" s="144">
        <f>SUMIF(WeeklyBoss[Material],Weekly_Boss[[#This Row],[Weekly Boss Material]],WeeklyBoss[Need to Farm])</f>
        <v>16</v>
      </c>
      <c r="G6" s="36">
        <f>IFERROR(INDEX(WeeklyBossInv[Quantity], MATCH(Weekly_Boss[[#This Row],[Weekly Boss Material]],WeeklyBossInv[Icon], 0)), "")</f>
        <v>10</v>
      </c>
      <c r="H6" s="36">
        <f t="shared" si="0"/>
        <v>6</v>
      </c>
      <c r="I6" s="212">
        <f t="shared" ref="I6" si="1">IF(SUMIF(H6:H8,"&gt;=0")&lt;=(ABS(SUMIF(H6:H8,"&lt;=0"))),IF((SUMIF(H6:H8,"&lt;=0"))&lt;=0,SUMIF(H6:H8,"&gt;=0"),0),ABS(SUMIF(H6:H8,"&lt;=0")))</f>
        <v>0</v>
      </c>
    </row>
    <row r="7" spans="1:9" ht="30" customHeight="1" x14ac:dyDescent="0.25">
      <c r="A7" s="144">
        <f>SUBTOTAL(3,$B$3:Weekly_Boss[[#This Row],[Weekly Boss]])</f>
        <v>5</v>
      </c>
      <c r="B7" s="173" t="s">
        <v>124</v>
      </c>
      <c r="C7" s="45" t="s">
        <v>138</v>
      </c>
      <c r="D7" s="36" t="e" vm="167">
        <f>IFERROR(INDEX(WeeklyBossImg[Icon], MATCH(Weekly_Boss[[#This Row],[NameHelper]], WeeklyBossImg[Name], 0)), "")</f>
        <v>#VALUE!</v>
      </c>
      <c r="E7" s="145">
        <v>1.01</v>
      </c>
      <c r="F7" s="144">
        <f>SUMIF(WeeklyBoss[Material],Weekly_Boss[[#This Row],[Weekly Boss Material]],WeeklyBoss[Need to Farm])</f>
        <v>18</v>
      </c>
      <c r="G7" s="36">
        <f>IFERROR(INDEX(WeeklyBossInv[Quantity], MATCH(Weekly_Boss[[#This Row],[Weekly Boss Material]],WeeklyBossInv[Icon], 0)), "")</f>
        <v>1</v>
      </c>
      <c r="H7" s="36">
        <f t="shared" si="0"/>
        <v>17</v>
      </c>
      <c r="I7" s="212"/>
    </row>
    <row r="8" spans="1:9" ht="30" customHeight="1" x14ac:dyDescent="0.25">
      <c r="A8" s="144">
        <f>SUBTOTAL(3,$B$3:Weekly_Boss[[#This Row],[Weekly Boss]])</f>
        <v>6</v>
      </c>
      <c r="B8" s="173" t="s">
        <v>124</v>
      </c>
      <c r="C8" s="45" t="s">
        <v>150</v>
      </c>
      <c r="D8" s="36" t="e" vm="211">
        <f>IFERROR(INDEX(WeeklyBossImg[Icon], MATCH(Weekly_Boss[[#This Row],[NameHelper]], WeeklyBossImg[Name], 0)), "")</f>
        <v>#VALUE!</v>
      </c>
      <c r="E8" s="145">
        <v>1.01</v>
      </c>
      <c r="F8" s="144">
        <f>SUMIF(WeeklyBoss[Material],Weekly_Boss[[#This Row],[Weekly Boss Material]],WeeklyBoss[Need to Farm])</f>
        <v>20</v>
      </c>
      <c r="G8" s="36">
        <f>IFERROR(INDEX(WeeklyBossInv[Quantity], MATCH(Weekly_Boss[[#This Row],[Weekly Boss Material]],WeeklyBossInv[Icon], 0)), "")</f>
        <v>15</v>
      </c>
      <c r="H8" s="36">
        <f t="shared" si="0"/>
        <v>5</v>
      </c>
      <c r="I8" s="212"/>
    </row>
    <row r="9" spans="1:9" ht="30" customHeight="1" x14ac:dyDescent="0.25">
      <c r="A9" s="144">
        <f>SUBTOTAL(3,$B$3:Weekly_Boss[[#This Row],[Weekly Boss]])</f>
        <v>7</v>
      </c>
      <c r="B9" s="173" t="s">
        <v>161</v>
      </c>
      <c r="C9" s="45" t="s">
        <v>162</v>
      </c>
      <c r="D9" s="36" t="e" vm="380">
        <f>IFERROR(INDEX(WeeklyBossImg[Icon], MATCH(Weekly_Boss[[#This Row],[NameHelper]], WeeklyBossImg[Name], 0)), "")</f>
        <v>#VALUE!</v>
      </c>
      <c r="E9" s="145">
        <v>1.1000000000000001</v>
      </c>
      <c r="F9" s="144">
        <f>SUMIF(WeeklyBoss[Material],Weekly_Boss[[#This Row],[Weekly Boss Material]],WeeklyBoss[Need to Farm])</f>
        <v>8</v>
      </c>
      <c r="G9" s="36">
        <f>IFERROR(INDEX(WeeklyBossInv[Quantity], MATCH(Weekly_Boss[[#This Row],[Weekly Boss Material]],WeeklyBossInv[Icon], 0)), "")</f>
        <v>18</v>
      </c>
      <c r="H9" s="36">
        <f t="shared" si="0"/>
        <v>-10</v>
      </c>
      <c r="I9" s="212">
        <f t="shared" ref="I9" si="2">IF(SUMIF(H9:H11,"&gt;=0")&lt;=(ABS(SUMIF(H9:H11,"&lt;=0"))),IF((SUMIF(H9:H11,"&lt;=0"))&lt;=0,SUMIF(H9:H11,"&gt;=0"),0),ABS(SUMIF(H9:H11,"&lt;=0")))</f>
        <v>0</v>
      </c>
    </row>
    <row r="10" spans="1:9" ht="30" customHeight="1" x14ac:dyDescent="0.25">
      <c r="A10" s="144">
        <f>SUBTOTAL(3,$B$3:Weekly_Boss[[#This Row],[Weekly Boss]])</f>
        <v>8</v>
      </c>
      <c r="B10" s="173" t="s">
        <v>161</v>
      </c>
      <c r="C10" s="45" t="s">
        <v>174</v>
      </c>
      <c r="D10" s="36" t="e" vm="408">
        <f>IFERROR(INDEX(WeeklyBossImg[Icon], MATCH(Weekly_Boss[[#This Row],[NameHelper]], WeeklyBossImg[Name], 0)), "")</f>
        <v>#VALUE!</v>
      </c>
      <c r="E10" s="145">
        <v>1.1000000000000001</v>
      </c>
      <c r="F10" s="144">
        <f>SUMIF(WeeklyBoss[Material],Weekly_Boss[[#This Row],[Weekly Boss Material]],WeeklyBoss[Need to Farm])</f>
        <v>10</v>
      </c>
      <c r="G10" s="36">
        <f>IFERROR(INDEX(WeeklyBossInv[Quantity], MATCH(Weekly_Boss[[#This Row],[Weekly Boss Material]],WeeklyBossInv[Icon], 0)), "")</f>
        <v>31</v>
      </c>
      <c r="H10" s="36">
        <f t="shared" si="0"/>
        <v>-21</v>
      </c>
      <c r="I10" s="212"/>
    </row>
    <row r="11" spans="1:9" ht="30" customHeight="1" x14ac:dyDescent="0.25">
      <c r="A11" s="144">
        <f>SUBTOTAL(3,$B$3:Weekly_Boss[[#This Row],[Weekly Boss]])</f>
        <v>9</v>
      </c>
      <c r="B11" s="173" t="s">
        <v>161</v>
      </c>
      <c r="C11" s="45" t="s">
        <v>183</v>
      </c>
      <c r="D11" s="36" t="e" vm="8">
        <f>IFERROR(INDEX(WeeklyBossImg[Icon], MATCH(Weekly_Boss[[#This Row],[NameHelper]], WeeklyBossImg[Name], 0)), "")</f>
        <v>#VALUE!</v>
      </c>
      <c r="E11" s="145">
        <v>1.1000000000000001</v>
      </c>
      <c r="F11" s="144">
        <f>SUMIF(WeeklyBoss[Material],Weekly_Boss[[#This Row],[Weekly Boss Material]],WeeklyBoss[Need to Farm])</f>
        <v>8</v>
      </c>
      <c r="G11" s="36">
        <f>IFERROR(INDEX(WeeklyBossInv[Quantity], MATCH(Weekly_Boss[[#This Row],[Weekly Boss Material]],WeeklyBossInv[Icon], 0)), "")</f>
        <v>13</v>
      </c>
      <c r="H11" s="36">
        <f t="shared" si="0"/>
        <v>-5</v>
      </c>
      <c r="I11" s="212"/>
    </row>
    <row r="12" spans="1:9" ht="30" customHeight="1" x14ac:dyDescent="0.25">
      <c r="A12" s="144">
        <f>SUBTOTAL(3,$B$3:Weekly_Boss[[#This Row],[Weekly Boss]])</f>
        <v>10</v>
      </c>
      <c r="B12" s="173" t="s">
        <v>192</v>
      </c>
      <c r="C12" s="45" t="s">
        <v>193</v>
      </c>
      <c r="D12" s="36" t="e" vm="311">
        <f>IFERROR(INDEX(WeeklyBossImg[Icon], MATCH(Weekly_Boss[[#This Row],[NameHelper]], WeeklyBossImg[Name], 0)), "")</f>
        <v>#VALUE!</v>
      </c>
      <c r="E12" s="145">
        <v>1.5</v>
      </c>
      <c r="F12" s="144">
        <f>SUMIF(WeeklyBoss[Material],Weekly_Boss[[#This Row],[Weekly Boss Material]],WeeklyBoss[Need to Farm])</f>
        <v>14</v>
      </c>
      <c r="G12" s="36">
        <f>IFERROR(INDEX(WeeklyBossInv[Quantity], MATCH(Weekly_Boss[[#This Row],[Weekly Boss Material]],WeeklyBossInv[Icon], 0)), "")</f>
        <v>15</v>
      </c>
      <c r="H12" s="36">
        <f t="shared" si="0"/>
        <v>-1</v>
      </c>
      <c r="I12" s="212">
        <f t="shared" ref="I12" si="3">IF(SUMIF(H12:H14,"&gt;=0")&lt;=(ABS(SUMIF(H12:H14,"&lt;=0"))),IF((SUMIF(H12:H14,"&lt;=0"))&lt;=0,SUMIF(H12:H14,"&gt;=0"),0),ABS(SUMIF(H12:H14,"&lt;=0")))</f>
        <v>0</v>
      </c>
    </row>
    <row r="13" spans="1:9" ht="30" customHeight="1" x14ac:dyDescent="0.25">
      <c r="A13" s="144">
        <f>SUBTOTAL(3,$B$3:Weekly_Boss[[#This Row],[Weekly Boss]])</f>
        <v>11</v>
      </c>
      <c r="B13" s="173" t="s">
        <v>192</v>
      </c>
      <c r="C13" s="45" t="s">
        <v>203</v>
      </c>
      <c r="D13" s="36" t="e" vm="150">
        <f>IFERROR(INDEX(WeeklyBossImg[Icon], MATCH(Weekly_Boss[[#This Row],[NameHelper]], WeeklyBossImg[Name], 0)), "")</f>
        <v>#VALUE!</v>
      </c>
      <c r="E13" s="145">
        <v>1.5</v>
      </c>
      <c r="F13" s="144">
        <f>SUMIF(WeeklyBoss[Material],Weekly_Boss[[#This Row],[Weekly Boss Material]],WeeklyBoss[Need to Farm])</f>
        <v>8</v>
      </c>
      <c r="G13" s="36">
        <f>IFERROR(INDEX(WeeklyBossInv[Quantity], MATCH(Weekly_Boss[[#This Row],[Weekly Boss Material]],WeeklyBossInv[Icon], 0)), "")</f>
        <v>20</v>
      </c>
      <c r="H13" s="36">
        <f t="shared" si="0"/>
        <v>-12</v>
      </c>
      <c r="I13" s="212"/>
    </row>
    <row r="14" spans="1:9" ht="30" customHeight="1" x14ac:dyDescent="0.25">
      <c r="A14" s="144">
        <f>SUBTOTAL(3,$B$3:Weekly_Boss[[#This Row],[Weekly Boss]])</f>
        <v>12</v>
      </c>
      <c r="B14" s="173" t="s">
        <v>192</v>
      </c>
      <c r="C14" s="45" t="s">
        <v>212</v>
      </c>
      <c r="D14" s="36" t="e" vm="182">
        <f>IFERROR(INDEX(WeeklyBossImg[Icon], MATCH(Weekly_Boss[[#This Row],[NameHelper]], WeeklyBossImg[Name], 0)), "")</f>
        <v>#VALUE!</v>
      </c>
      <c r="E14" s="145">
        <v>1.5</v>
      </c>
      <c r="F14" s="144">
        <f>SUMIF(WeeklyBoss[Material],Weekly_Boss[[#This Row],[Weekly Boss Material]],WeeklyBoss[Need to Farm])</f>
        <v>16</v>
      </c>
      <c r="G14" s="36">
        <f>IFERROR(INDEX(WeeklyBossInv[Quantity], MATCH(Weekly_Boss[[#This Row],[Weekly Boss Material]],WeeklyBossInv[Icon], 0)), "")</f>
        <v>27</v>
      </c>
      <c r="H14" s="36">
        <f t="shared" si="0"/>
        <v>-11</v>
      </c>
      <c r="I14" s="212"/>
    </row>
    <row r="15" spans="1:9" ht="30" customHeight="1" x14ac:dyDescent="0.25">
      <c r="A15" s="144">
        <f>SUBTOTAL(3,$B$3:Weekly_Boss[[#This Row],[Weekly Boss]])</f>
        <v>13</v>
      </c>
      <c r="B15" s="173" t="s">
        <v>221</v>
      </c>
      <c r="C15" s="45" t="s">
        <v>222</v>
      </c>
      <c r="D15" s="36" t="e" vm="579">
        <f>IFERROR(INDEX(WeeklyBossImg[Icon], MATCH(Weekly_Boss[[#This Row],[NameHelper]], WeeklyBossImg[Name], 0)), "")</f>
        <v>#VALUE!</v>
      </c>
      <c r="E15" s="145">
        <v>2.1</v>
      </c>
      <c r="F15" s="144">
        <f>SUMIF(WeeklyBoss[Material],Weekly_Boss[[#This Row],[Weekly Boss Material]],WeeklyBoss[Need to Farm])</f>
        <v>8</v>
      </c>
      <c r="G15" s="36">
        <f>IFERROR(INDEX(WeeklyBossInv[Quantity], MATCH(Weekly_Boss[[#This Row],[Weekly Boss Material]],WeeklyBossInv[Icon], 0)), "")</f>
        <v>4</v>
      </c>
      <c r="H15" s="36">
        <f t="shared" si="0"/>
        <v>4</v>
      </c>
      <c r="I15" s="212">
        <f t="shared" ref="I15" si="4">IF(SUMIF(H15:H17,"&gt;=0")&lt;=(ABS(SUMIF(H15:H17,"&lt;=0"))),IF((SUMIF(H15:H17,"&lt;=0"))&lt;=0,SUMIF(H15:H17,"&gt;=0"),0),ABS(SUMIF(H15:H17,"&lt;=0")))</f>
        <v>4</v>
      </c>
    </row>
    <row r="16" spans="1:9" ht="30" customHeight="1" x14ac:dyDescent="0.25">
      <c r="A16" s="144">
        <f>SUBTOTAL(3,$B$3:Weekly_Boss[[#This Row],[Weekly Boss]])</f>
        <v>14</v>
      </c>
      <c r="B16" s="173" t="s">
        <v>221</v>
      </c>
      <c r="C16" s="45" t="s">
        <v>232</v>
      </c>
      <c r="D16" s="36" t="e" vm="425">
        <f>IFERROR(INDEX(WeeklyBossImg[Icon], MATCH(Weekly_Boss[[#This Row],[NameHelper]], WeeklyBossImg[Name], 0)), "")</f>
        <v>#VALUE!</v>
      </c>
      <c r="E16" s="145">
        <v>2.1</v>
      </c>
      <c r="F16" s="144">
        <f>SUMIF(WeeklyBoss[Material],Weekly_Boss[[#This Row],[Weekly Boss Material]],WeeklyBoss[Need to Farm])</f>
        <v>16</v>
      </c>
      <c r="G16" s="36">
        <f>IFERROR(INDEX(WeeklyBossInv[Quantity], MATCH(Weekly_Boss[[#This Row],[Weekly Boss Material]],WeeklyBossInv[Icon], 0)), "")</f>
        <v>23</v>
      </c>
      <c r="H16" s="36">
        <f t="shared" si="0"/>
        <v>-7</v>
      </c>
      <c r="I16" s="212"/>
    </row>
    <row r="17" spans="1:9" ht="30" customHeight="1" x14ac:dyDescent="0.25">
      <c r="A17" s="144">
        <f>SUBTOTAL(3,$B$3:Weekly_Boss[[#This Row],[Weekly Boss]])</f>
        <v>15</v>
      </c>
      <c r="B17" s="173" t="s">
        <v>221</v>
      </c>
      <c r="C17" s="45" t="s">
        <v>241</v>
      </c>
      <c r="D17" s="36" t="e" vm="350">
        <f>IFERROR(INDEX(WeeklyBossImg[Icon], MATCH(Weekly_Boss[[#This Row],[NameHelper]], WeeklyBossImg[Name], 0)), "")</f>
        <v>#VALUE!</v>
      </c>
      <c r="E17" s="145">
        <v>2.1</v>
      </c>
      <c r="F17" s="144">
        <f>SUMIF(WeeklyBoss[Material],Weekly_Boss[[#This Row],[Weekly Boss Material]],WeeklyBoss[Need to Farm])</f>
        <v>16</v>
      </c>
      <c r="G17" s="36">
        <f>IFERROR(INDEX(WeeklyBossInv[Quantity], MATCH(Weekly_Boss[[#This Row],[Weekly Boss Material]],WeeklyBossInv[Icon], 0)), "")</f>
        <v>17</v>
      </c>
      <c r="H17" s="36">
        <f t="shared" si="0"/>
        <v>-1</v>
      </c>
      <c r="I17" s="212"/>
    </row>
    <row r="18" spans="1:9" ht="30" customHeight="1" x14ac:dyDescent="0.25">
      <c r="A18" s="144">
        <f>SUBTOTAL(3,$B$3:Weekly_Boss[[#This Row],[Weekly Boss]])</f>
        <v>16</v>
      </c>
      <c r="B18" s="173" t="s">
        <v>250</v>
      </c>
      <c r="C18" s="45" t="s">
        <v>251</v>
      </c>
      <c r="D18" s="36" t="e" vm="198">
        <f>IFERROR(INDEX(WeeklyBossImg[Icon], MATCH(Weekly_Boss[[#This Row],[NameHelper]], WeeklyBossImg[Name], 0)), "")</f>
        <v>#VALUE!</v>
      </c>
      <c r="E18" s="145">
        <v>2.5</v>
      </c>
      <c r="F18" s="144">
        <f>SUMIF(WeeklyBoss[Material],Weekly_Boss[[#This Row],[Weekly Boss Material]],WeeklyBoss[Need to Farm])</f>
        <v>8</v>
      </c>
      <c r="G18" s="36">
        <f>IFERROR(INDEX(WeeklyBossInv[Quantity], MATCH(Weekly_Boss[[#This Row],[Weekly Boss Material]],WeeklyBossInv[Icon], 0)), "")</f>
        <v>13</v>
      </c>
      <c r="H18" s="36">
        <f t="shared" si="0"/>
        <v>-5</v>
      </c>
      <c r="I18" s="212">
        <f t="shared" ref="I18" si="5">IF(SUMIF(H18:H20,"&gt;=0")&lt;=(ABS(SUMIF(H18:H20,"&lt;=0"))),IF((SUMIF(H18:H20,"&lt;=0"))&lt;=0,SUMIF(H18:H20,"&gt;=0"),0),ABS(SUMIF(H18:H20,"&lt;=0")))</f>
        <v>5</v>
      </c>
    </row>
    <row r="19" spans="1:9" ht="30" customHeight="1" x14ac:dyDescent="0.25">
      <c r="A19" s="144">
        <f>SUBTOTAL(3,$B$3:Weekly_Boss[[#This Row],[Weekly Boss]])</f>
        <v>17</v>
      </c>
      <c r="B19" s="173" t="s">
        <v>250</v>
      </c>
      <c r="C19" s="45" t="s">
        <v>261</v>
      </c>
      <c r="D19" s="36" t="e" vm="456">
        <f>IFERROR(INDEX(WeeklyBossImg[Icon], MATCH(Weekly_Boss[[#This Row],[NameHelper]], WeeklyBossImg[Name], 0)), "")</f>
        <v>#VALUE!</v>
      </c>
      <c r="E19" s="145">
        <v>2.5</v>
      </c>
      <c r="F19" s="144">
        <f>SUMIF(WeeklyBoss[Material],Weekly_Boss[[#This Row],[Weekly Boss Material]],WeeklyBoss[Need to Farm])</f>
        <v>16</v>
      </c>
      <c r="G19" s="36">
        <f>IFERROR(INDEX(WeeklyBossInv[Quantity], MATCH(Weekly_Boss[[#This Row],[Weekly Boss Material]],WeeklyBossInv[Icon], 0)), "")</f>
        <v>12</v>
      </c>
      <c r="H19" s="36">
        <f t="shared" si="0"/>
        <v>4</v>
      </c>
      <c r="I19" s="212"/>
    </row>
    <row r="20" spans="1:9" ht="30" customHeight="1" x14ac:dyDescent="0.25">
      <c r="A20" s="144">
        <f>SUBTOTAL(3,$B$3:Weekly_Boss[[#This Row],[Weekly Boss]])</f>
        <v>18</v>
      </c>
      <c r="B20" s="173" t="s">
        <v>250</v>
      </c>
      <c r="C20" s="45" t="s">
        <v>270</v>
      </c>
      <c r="D20" s="36" t="e" vm="240">
        <f>IFERROR(INDEX(WeeklyBossImg[Icon], MATCH(Weekly_Boss[[#This Row],[NameHelper]], WeeklyBossImg[Name], 0)), "")</f>
        <v>#VALUE!</v>
      </c>
      <c r="E20" s="145">
        <v>2.5</v>
      </c>
      <c r="F20" s="144">
        <f>SUMIF(WeeklyBoss[Material],Weekly_Boss[[#This Row],[Weekly Boss Material]],WeeklyBoss[Need to Farm])</f>
        <v>20</v>
      </c>
      <c r="G20" s="36">
        <f>IFERROR(INDEX(WeeklyBossInv[Quantity], MATCH(Weekly_Boss[[#This Row],[Weekly Boss Material]],WeeklyBossInv[Icon], 0)), "")</f>
        <v>9</v>
      </c>
      <c r="H20" s="36">
        <f t="shared" si="0"/>
        <v>11</v>
      </c>
      <c r="I20" s="212"/>
    </row>
    <row r="21" spans="1:9" ht="30" customHeight="1" x14ac:dyDescent="0.25">
      <c r="A21" s="144">
        <f>SUBTOTAL(3,$B$3:Weekly_Boss[[#This Row],[Weekly Boss]])</f>
        <v>19</v>
      </c>
      <c r="B21" s="173" t="s">
        <v>38</v>
      </c>
      <c r="C21" s="45" t="s">
        <v>279</v>
      </c>
      <c r="D21" s="36" t="e" vm="390">
        <f>IFERROR(INDEX(WeeklyBossImg[Icon], MATCH(Weekly_Boss[[#This Row],[NameHelper]], WeeklyBossImg[Name], 0)), "")</f>
        <v>#VALUE!</v>
      </c>
      <c r="E21" s="145">
        <v>3.2</v>
      </c>
      <c r="F21" s="144">
        <f>SUMIF(WeeklyBoss[Material],Weekly_Boss[[#This Row],[Weekly Boss Material]],WeeklyBoss[Need to Farm])</f>
        <v>0</v>
      </c>
      <c r="G21" s="36">
        <f>IFERROR(INDEX(WeeklyBossInv[Quantity], MATCH(Weekly_Boss[[#This Row],[Weekly Boss Material]],WeeklyBossInv[Icon], 0)), "")</f>
        <v>23</v>
      </c>
      <c r="H21" s="36">
        <f t="shared" si="0"/>
        <v>-23</v>
      </c>
      <c r="I21" s="212">
        <f t="shared" ref="I21" si="6">IF(SUMIF(H21:H23,"&gt;=0")&lt;=(ABS(SUMIF(H21:H23,"&lt;=0"))),IF((SUMIF(H21:H23,"&lt;=0"))&lt;=0,SUMIF(H21:H23,"&gt;=0"),0),ABS(SUMIF(H21:H23,"&lt;=0")))</f>
        <v>12</v>
      </c>
    </row>
    <row r="22" spans="1:9" ht="30" customHeight="1" x14ac:dyDescent="0.25">
      <c r="A22" s="144">
        <f>SUBTOTAL(3,$B$3:Weekly_Boss[[#This Row],[Weekly Boss]])</f>
        <v>20</v>
      </c>
      <c r="B22" s="173" t="s">
        <v>38</v>
      </c>
      <c r="C22" s="45" t="s">
        <v>289</v>
      </c>
      <c r="D22" s="36" t="e" vm="443">
        <f>IFERROR(INDEX(WeeklyBossImg[Icon], MATCH(Weekly_Boss[[#This Row],[NameHelper]], WeeklyBossImg[Name], 0)), "")</f>
        <v>#VALUE!</v>
      </c>
      <c r="E22" s="145">
        <v>3.2</v>
      </c>
      <c r="F22" s="144">
        <f>SUMIF(WeeklyBoss[Material],Weekly_Boss[[#This Row],[Weekly Boss Material]],WeeklyBoss[Need to Farm])</f>
        <v>8</v>
      </c>
      <c r="G22" s="36">
        <f>IFERROR(INDEX(WeeklyBossInv[Quantity], MATCH(Weekly_Boss[[#This Row],[Weekly Boss Material]],WeeklyBossInv[Icon], 0)), "")</f>
        <v>10</v>
      </c>
      <c r="H22" s="36">
        <f t="shared" si="0"/>
        <v>-2</v>
      </c>
      <c r="I22" s="212"/>
    </row>
    <row r="23" spans="1:9" ht="30" customHeight="1" x14ac:dyDescent="0.25">
      <c r="A23" s="144">
        <f>SUBTOTAL(3,$B$3:Weekly_Boss[[#This Row],[Weekly Boss]])</f>
        <v>21</v>
      </c>
      <c r="B23" s="173" t="s">
        <v>38</v>
      </c>
      <c r="C23" s="45" t="s">
        <v>298</v>
      </c>
      <c r="D23" s="36" t="e" vm="30">
        <f>IFERROR(INDEX(WeeklyBossImg[Icon], MATCH(Weekly_Boss[[#This Row],[NameHelper]], WeeklyBossImg[Name], 0)), "")</f>
        <v>#VALUE!</v>
      </c>
      <c r="E23" s="145">
        <v>3.2</v>
      </c>
      <c r="F23" s="144">
        <f>SUMIF(WeeklyBoss[Material],Weekly_Boss[[#This Row],[Weekly Boss Material]],WeeklyBoss[Need to Farm])</f>
        <v>19</v>
      </c>
      <c r="G23" s="36">
        <f>IFERROR(INDEX(WeeklyBossInv[Quantity], MATCH(Weekly_Boss[[#This Row],[Weekly Boss Material]],WeeklyBossInv[Icon], 0)), "")</f>
        <v>7</v>
      </c>
      <c r="H23" s="36">
        <f t="shared" si="0"/>
        <v>12</v>
      </c>
      <c r="I23" s="212"/>
    </row>
    <row r="24" spans="1:9" ht="30" customHeight="1" x14ac:dyDescent="0.25">
      <c r="A24" s="144">
        <f>SUBTOTAL(3,$B$3:Weekly_Boss[[#This Row],[Weekly Boss]])</f>
        <v>22</v>
      </c>
      <c r="B24" s="173" t="s">
        <v>307</v>
      </c>
      <c r="C24" s="45" t="s">
        <v>308</v>
      </c>
      <c r="D24" s="36" t="e" vm="433">
        <f>IFERROR(INDEX(WeeklyBossImg[Icon], MATCH(Weekly_Boss[[#This Row],[NameHelper]], WeeklyBossImg[Name], 0)), "")</f>
        <v>#VALUE!</v>
      </c>
      <c r="E24" s="145">
        <v>3.6</v>
      </c>
      <c r="F24" s="144">
        <f>SUMIF(WeeklyBoss[Material],Weekly_Boss[[#This Row],[Weekly Boss Material]],WeeklyBoss[Need to Farm])</f>
        <v>8</v>
      </c>
      <c r="G24" s="36">
        <f>IFERROR(INDEX(WeeklyBossInv[Quantity], MATCH(Weekly_Boss[[#This Row],[Weekly Boss Material]],WeeklyBossInv[Icon], 0)), "")</f>
        <v>11</v>
      </c>
      <c r="H24" s="36">
        <f t="shared" si="0"/>
        <v>-3</v>
      </c>
      <c r="I24" s="212">
        <f t="shared" ref="I24" si="7">IF(SUMIF(H24:H26,"&gt;=0")&lt;=(ABS(SUMIF(H24:H26,"&lt;=0"))),IF((SUMIF(H24:H26,"&lt;=0"))&lt;=0,SUMIF(H24:H26,"&gt;=0"),0),ABS(SUMIF(H24:H26,"&lt;=0")))</f>
        <v>3</v>
      </c>
    </row>
    <row r="25" spans="1:9" ht="30" customHeight="1" x14ac:dyDescent="0.25">
      <c r="A25" s="144">
        <f>SUBTOTAL(3,$B$3:Weekly_Boss[[#This Row],[Weekly Boss]])</f>
        <v>23</v>
      </c>
      <c r="B25" s="173" t="s">
        <v>307</v>
      </c>
      <c r="C25" s="45" t="s">
        <v>318</v>
      </c>
      <c r="D25" s="36" t="e" vm="93">
        <f>IFERROR(INDEX(WeeklyBossImg[Icon], MATCH(Weekly_Boss[[#This Row],[NameHelper]], WeeklyBossImg[Name], 0)), "")</f>
        <v>#VALUE!</v>
      </c>
      <c r="E25" s="145">
        <v>3.6</v>
      </c>
      <c r="F25" s="144">
        <f>SUMIF(WeeklyBoss[Material],Weekly_Boss[[#This Row],[Weekly Boss Material]],WeeklyBoss[Need to Farm])</f>
        <v>16</v>
      </c>
      <c r="G25" s="36">
        <f>IFERROR(INDEX(WeeklyBossInv[Quantity], MATCH(Weekly_Boss[[#This Row],[Weekly Boss Material]],WeeklyBossInv[Icon], 0)), "")</f>
        <v>3</v>
      </c>
      <c r="H25" s="36">
        <f t="shared" si="0"/>
        <v>13</v>
      </c>
      <c r="I25" s="212"/>
    </row>
    <row r="26" spans="1:9" ht="30" customHeight="1" x14ac:dyDescent="0.25">
      <c r="A26" s="144">
        <f>SUBTOTAL(3,$B$3:Weekly_Boss[[#This Row],[Weekly Boss]])</f>
        <v>24</v>
      </c>
      <c r="B26" s="173" t="s">
        <v>307</v>
      </c>
      <c r="C26" s="45" t="s">
        <v>326</v>
      </c>
      <c r="D26" s="36" t="e" vm="328">
        <f>IFERROR(INDEX(WeeklyBossImg[Icon], MATCH(Weekly_Boss[[#This Row],[NameHelper]], WeeklyBossImg[Name], 0)), "")</f>
        <v>#VALUE!</v>
      </c>
      <c r="E26" s="145">
        <v>3.6</v>
      </c>
      <c r="F26" s="144">
        <f>SUMIF(WeeklyBoss[Material],Weekly_Boss[[#This Row],[Weekly Boss Material]],WeeklyBoss[Need to Farm])</f>
        <v>16</v>
      </c>
      <c r="G26" s="36">
        <f>IFERROR(INDEX(WeeklyBossInv[Quantity], MATCH(Weekly_Boss[[#This Row],[Weekly Boss Material]],WeeklyBossInv[Icon], 0)), "")</f>
        <v>2</v>
      </c>
      <c r="H26" s="36">
        <f t="shared" si="0"/>
        <v>14</v>
      </c>
      <c r="I26" s="212"/>
    </row>
    <row r="27" spans="1:9" ht="30" customHeight="1" x14ac:dyDescent="0.25">
      <c r="A27" s="144">
        <f>SUBTOTAL(3,$B$3:Weekly_Boss[[#This Row],[Weekly Boss]])</f>
        <v>25</v>
      </c>
      <c r="B27" s="173" t="s">
        <v>334</v>
      </c>
      <c r="C27" s="45" t="s">
        <v>335</v>
      </c>
      <c r="D27" s="36" t="e" vm="73">
        <f>IFERROR(INDEX(WeeklyBossImg[Icon], MATCH(Weekly_Boss[[#This Row],[NameHelper]], WeeklyBossImg[Name], 0)), "")</f>
        <v>#VALUE!</v>
      </c>
      <c r="E27" s="145">
        <v>4.2</v>
      </c>
      <c r="F27" s="144">
        <f>SUMIF(WeeklyBoss[Material],Weekly_Boss[[#This Row],[Weekly Boss Material]],WeeklyBoss[Need to Farm])</f>
        <v>7</v>
      </c>
      <c r="G27" s="36">
        <f>IFERROR(INDEX(WeeklyBossInv[Quantity], MATCH(Weekly_Boss[[#This Row],[Weekly Boss Material]],WeeklyBossInv[Icon], 0)), "")</f>
        <v>15</v>
      </c>
      <c r="H27" s="36">
        <f t="shared" si="0"/>
        <v>-8</v>
      </c>
      <c r="I27" s="212">
        <f t="shared" ref="I27" si="8">IF(SUMIF(H27:H29,"&gt;=0")&lt;=(ABS(SUMIF(H27:H29,"&lt;=0"))),IF((SUMIF(H27:H29,"&lt;=0"))&lt;=0,SUMIF(H27:H29,"&gt;=0"),0),ABS(SUMIF(H27:H29,"&lt;=0")))</f>
        <v>0</v>
      </c>
    </row>
    <row r="28" spans="1:9" ht="30" customHeight="1" x14ac:dyDescent="0.25">
      <c r="A28" s="144">
        <f>SUBTOTAL(3,$B$3:Weekly_Boss[[#This Row],[Weekly Boss]])</f>
        <v>26</v>
      </c>
      <c r="B28" s="173" t="s">
        <v>334</v>
      </c>
      <c r="C28" s="45" t="s">
        <v>345</v>
      </c>
      <c r="D28" s="36" t="e" vm="591">
        <f>IFERROR(INDEX(WeeklyBossImg[Icon], MATCH(Weekly_Boss[[#This Row],[NameHelper]], WeeklyBossImg[Name], 0)), "")</f>
        <v>#VALUE!</v>
      </c>
      <c r="E28" s="145">
        <v>4.2</v>
      </c>
      <c r="F28" s="144">
        <f>SUMIF(WeeklyBoss[Material],Weekly_Boss[[#This Row],[Weekly Boss Material]],WeeklyBoss[Need to Farm])</f>
        <v>8</v>
      </c>
      <c r="G28" s="36">
        <f>IFERROR(INDEX(WeeklyBossInv[Quantity], MATCH(Weekly_Boss[[#This Row],[Weekly Boss Material]],WeeklyBossInv[Icon], 0)), "")</f>
        <v>14</v>
      </c>
      <c r="H28" s="36">
        <f t="shared" si="0"/>
        <v>-6</v>
      </c>
      <c r="I28" s="212"/>
    </row>
    <row r="29" spans="1:9" ht="30" customHeight="1" x14ac:dyDescent="0.25">
      <c r="A29" s="144">
        <f>SUBTOTAL(3,$B$3:Weekly_Boss[[#This Row],[Weekly Boss]])</f>
        <v>27</v>
      </c>
      <c r="B29" s="173" t="s">
        <v>334</v>
      </c>
      <c r="C29" s="45" t="s">
        <v>354</v>
      </c>
      <c r="D29" s="36" t="e" vm="114">
        <f>IFERROR(INDEX(WeeklyBossImg[Icon], MATCH(Weekly_Boss[[#This Row],[NameHelper]], WeeklyBossImg[Name], 0)), "")</f>
        <v>#VALUE!</v>
      </c>
      <c r="E29" s="145">
        <v>4.2</v>
      </c>
      <c r="F29" s="144">
        <f>SUMIF(WeeklyBoss[Material],Weekly_Boss[[#This Row],[Weekly Boss Material]],WeeklyBoss[Need to Farm])</f>
        <v>8</v>
      </c>
      <c r="G29" s="36">
        <f>IFERROR(INDEX(WeeklyBossInv[Quantity], MATCH(Weekly_Boss[[#This Row],[Weekly Boss Material]],WeeklyBossInv[Icon], 0)), "")</f>
        <v>10</v>
      </c>
      <c r="H29" s="36">
        <f t="shared" si="0"/>
        <v>-2</v>
      </c>
      <c r="I29" s="212"/>
    </row>
    <row r="30" spans="1:9" ht="30" customHeight="1" x14ac:dyDescent="0.25">
      <c r="A30" s="144">
        <f>SUBTOTAL(3,$B$3:Weekly_Boss[[#This Row],[Weekly Boss]])</f>
        <v>28</v>
      </c>
      <c r="B30" s="173" t="s">
        <v>363</v>
      </c>
      <c r="C30" s="45" t="s">
        <v>364</v>
      </c>
      <c r="D30" s="36" t="e" vm="790">
        <f>IFERROR(INDEX(WeeklyBossImg[Icon], MATCH(Weekly_Boss[[#This Row],[NameHelper]], WeeklyBossImg[Name], 0)), "")</f>
        <v>#VALUE!</v>
      </c>
      <c r="E30" s="145">
        <v>4.5999999999999996</v>
      </c>
      <c r="F30" s="144">
        <f>SUMIF(WeeklyBoss[Material],Weekly_Boss[[#This Row],[Weekly Boss Material]],WeeklyBoss[Need to Farm])</f>
        <v>0</v>
      </c>
      <c r="G30" s="36">
        <f>IFERROR(INDEX(WeeklyBossInv[Quantity], MATCH(Weekly_Boss[[#This Row],[Weekly Boss Material]],WeeklyBossInv[Icon], 0)), "")</f>
        <v>2</v>
      </c>
      <c r="H30" s="36">
        <f t="shared" si="0"/>
        <v>-2</v>
      </c>
      <c r="I30" s="212">
        <f t="shared" ref="I30" si="9">IF(SUMIF(H30:H32,"&gt;=0")&lt;=(ABS(SUMIF(H30:H32,"&lt;=0"))),IF((SUMIF(H30:H32,"&lt;=0"))&lt;=0,SUMIF(H30:H32,"&gt;=0"),0),ABS(SUMIF(H30:H32,"&lt;=0")))</f>
        <v>1</v>
      </c>
    </row>
    <row r="31" spans="1:9" ht="30" customHeight="1" x14ac:dyDescent="0.25">
      <c r="A31" s="144">
        <f>SUBTOTAL(3,$B$3:Weekly_Boss[[#This Row],[Weekly Boss]])</f>
        <v>29</v>
      </c>
      <c r="B31" s="173" t="s">
        <v>363</v>
      </c>
      <c r="C31" s="45" t="s">
        <v>374</v>
      </c>
      <c r="D31" s="36" t="e" vm="792">
        <f>IFERROR(INDEX(WeeklyBossImg[Icon], MATCH(Weekly_Boss[[#This Row],[NameHelper]], WeeklyBossImg[Name], 0)), "")</f>
        <v>#VALUE!</v>
      </c>
      <c r="E31" s="145">
        <v>4.5999999999999996</v>
      </c>
      <c r="F31" s="144">
        <f>SUMIF(WeeklyBoss[Material],Weekly_Boss[[#This Row],[Weekly Boss Material]],WeeklyBoss[Need to Farm])</f>
        <v>0</v>
      </c>
      <c r="G31" s="36">
        <f>IFERROR(INDEX(WeeklyBossInv[Quantity], MATCH(Weekly_Boss[[#This Row],[Weekly Boss Material]],WeeklyBossInv[Icon], 0)), "")</f>
        <v>1</v>
      </c>
      <c r="H31" s="36">
        <f t="shared" si="0"/>
        <v>-1</v>
      </c>
      <c r="I31" s="212"/>
    </row>
    <row r="32" spans="1:9" ht="30" customHeight="1" thickBot="1" x14ac:dyDescent="0.3">
      <c r="A32" s="144">
        <f>SUBTOTAL(3,$B$3:Weekly_Boss[[#This Row],[Weekly Boss]])</f>
        <v>30</v>
      </c>
      <c r="B32" s="173" t="s">
        <v>363</v>
      </c>
      <c r="C32" s="45" t="s">
        <v>382</v>
      </c>
      <c r="D32" s="36" t="e" vm="548">
        <f>IFERROR(INDEX(WeeklyBossImg[Icon], MATCH(Weekly_Boss[[#This Row],[NameHelper]], WeeklyBossImg[Name], 0)), "")</f>
        <v>#VALUE!</v>
      </c>
      <c r="E32" s="145">
        <v>4.5999999999999996</v>
      </c>
      <c r="F32" s="150">
        <f>SUMIF(WeeklyBoss[Material],Weekly_Boss[[#This Row],[Weekly Boss Material]],WeeklyBoss[Need to Farm])</f>
        <v>2</v>
      </c>
      <c r="G32" s="151">
        <f>IFERROR(INDEX(WeeklyBossInv[Quantity], MATCH(Weekly_Boss[[#This Row],[Weekly Boss Material]],WeeklyBossInv[Icon], 0)), "")</f>
        <v>1</v>
      </c>
      <c r="H32" s="151">
        <f t="shared" si="0"/>
        <v>1</v>
      </c>
      <c r="I32" s="212"/>
    </row>
    <row r="33" spans="1:9" ht="16.5" thickBot="1" x14ac:dyDescent="0.3">
      <c r="A33" s="153" t="s">
        <v>706</v>
      </c>
      <c r="B33" s="154"/>
      <c r="C33" s="154"/>
      <c r="D33" s="154"/>
      <c r="E33" s="155"/>
      <c r="F33" s="153">
        <f>SUBTOTAL(109,Weekly_Boss[Need to Farm])</f>
        <v>367</v>
      </c>
      <c r="G33" s="154">
        <f>SUBTOTAL(109,Weekly_Boss[Acquired])</f>
        <v>402</v>
      </c>
      <c r="H33" s="154">
        <f>SUMIF(Weekly_Boss[Remaining],"&gt;=0")</f>
        <v>92</v>
      </c>
      <c r="I33" s="174">
        <f>SUMIF(I3:I32,"&gt;=0")</f>
        <v>30</v>
      </c>
    </row>
  </sheetData>
  <mergeCells count="11">
    <mergeCell ref="A1:H1"/>
    <mergeCell ref="I3:I5"/>
    <mergeCell ref="I6:I8"/>
    <mergeCell ref="I9:I11"/>
    <mergeCell ref="I27:I29"/>
    <mergeCell ref="I30:I32"/>
    <mergeCell ref="I12:I14"/>
    <mergeCell ref="I15:I17"/>
    <mergeCell ref="I18:I20"/>
    <mergeCell ref="I21:I23"/>
    <mergeCell ref="I24:I26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98CEF-277C-40F0-BBA0-EC0D14C2E67A}">
  <sheetPr codeName="Sheet6">
    <tabColor rgb="FFFFC000"/>
  </sheetPr>
  <dimension ref="A1:G46"/>
  <sheetViews>
    <sheetView topLeftCell="A21" workbookViewId="0">
      <selection activeCell="G32" sqref="G32"/>
    </sheetView>
  </sheetViews>
  <sheetFormatPr defaultColWidth="9.140625" defaultRowHeight="15.75" x14ac:dyDescent="0.25"/>
  <cols>
    <col min="1" max="1" width="9.140625" style="36" customWidth="1"/>
    <col min="2" max="2" width="17.42578125" style="36" bestFit="1" customWidth="1"/>
    <col min="3" max="3" width="23.85546875" style="36" hidden="1" customWidth="1"/>
    <col min="4" max="4" width="25" style="36" customWidth="1"/>
    <col min="5" max="7" width="14.28515625" style="36" customWidth="1"/>
    <col min="8" max="16384" width="9.140625" style="36"/>
  </cols>
  <sheetData>
    <row r="1" spans="1:7" ht="36" thickBot="1" x14ac:dyDescent="0.3">
      <c r="A1" s="213" t="s">
        <v>20</v>
      </c>
      <c r="B1" s="214"/>
      <c r="C1" s="214"/>
      <c r="D1" s="214"/>
      <c r="E1" s="214"/>
      <c r="F1" s="214"/>
      <c r="G1" s="215"/>
    </row>
    <row r="2" spans="1:7" s="43" customFormat="1" ht="30" customHeight="1" thickBot="1" x14ac:dyDescent="0.3">
      <c r="A2" s="175" t="s">
        <v>670</v>
      </c>
      <c r="B2" s="43" t="s">
        <v>787</v>
      </c>
      <c r="C2" s="43" t="s">
        <v>769</v>
      </c>
      <c r="D2" s="43" t="s">
        <v>770</v>
      </c>
      <c r="E2" s="141" t="s">
        <v>679</v>
      </c>
      <c r="F2" s="142" t="s">
        <v>843</v>
      </c>
      <c r="G2" s="143" t="s">
        <v>844</v>
      </c>
    </row>
    <row r="3" spans="1:7" ht="30" customHeight="1" x14ac:dyDescent="0.25">
      <c r="A3" s="144">
        <f>SUBTOTAL(3,$B$3:Ascension_Flower[[#This Row],[Specialty]])</f>
        <v>1</v>
      </c>
      <c r="B3" s="36" t="e" vm="227">
        <f>IFERROR(INDEX(LocalSpecialtiesImg[Icon], MATCH(Ascension_Flower[[#This Row],[HelperName]],LocalSpecialtiesImg[Name], 0)), "")</f>
        <v>#VALUE!</v>
      </c>
      <c r="C3" s="36" t="s">
        <v>89</v>
      </c>
      <c r="D3" s="176" t="s">
        <v>722</v>
      </c>
      <c r="E3" s="146">
        <f>SUMIF(LocalSpecialties3[Local Specialties],Ascension_Flower[[#This Row],[Specialty]],LocalSpecialties3[Need to Farm])</f>
        <v>165</v>
      </c>
      <c r="F3" s="147">
        <f>IFERROR(INDEX(LocalSpecialtiesInv[Quantity], MATCH(Ascension_Flower[[#This Row],[Specialty]], LocalSpecialtiesInv[Icon], 0)), "")</f>
        <v>178</v>
      </c>
      <c r="G3" s="148">
        <f>Ascension_Flower[[#This Row],[Need to Farm]]-Ascension_Flower[[#This Row],[Acquired]]</f>
        <v>-13</v>
      </c>
    </row>
    <row r="4" spans="1:7" ht="30" customHeight="1" x14ac:dyDescent="0.25">
      <c r="A4" s="144">
        <f>SUBTOTAL(3,$B$3:Ascension_Flower[[#This Row],[Specialty]])</f>
        <v>2</v>
      </c>
      <c r="B4" s="36" t="e" vm="561">
        <f>IFERROR(INDEX(LocalSpecialtiesImg[Icon], MATCH(Ascension_Flower[[#This Row],[HelperName]],LocalSpecialtiesImg[Name], 0)), "")</f>
        <v>#VALUE!</v>
      </c>
      <c r="C4" s="36" t="s">
        <v>101</v>
      </c>
      <c r="D4" s="176" t="s">
        <v>723</v>
      </c>
      <c r="E4" s="144">
        <f>SUMIF(LocalSpecialties3[Local Specialties],Ascension_Flower[[#This Row],[Specialty]],LocalSpecialties3[Need to Farm])</f>
        <v>0</v>
      </c>
      <c r="F4" s="36">
        <f>IFERROR(INDEX(LocalSpecialtiesInv[Quantity], MATCH(Ascension_Flower[[#This Row],[Specialty]], LocalSpecialtiesInv[Icon], 0)), "")</f>
        <v>6</v>
      </c>
      <c r="G4" s="149">
        <f>Ascension_Flower[[#This Row],[Need to Farm]]-Ascension_Flower[[#This Row],[Acquired]]</f>
        <v>-6</v>
      </c>
    </row>
    <row r="5" spans="1:7" ht="30" customHeight="1" x14ac:dyDescent="0.25">
      <c r="A5" s="144">
        <f>SUBTOTAL(3,$B$3:Ascension_Flower[[#This Row],[Specialty]])</f>
        <v>3</v>
      </c>
      <c r="B5" s="36" t="e" vm="168">
        <f>IFERROR(INDEX(LocalSpecialtiesImg[Icon], MATCH(Ascension_Flower[[#This Row],[HelperName]],LocalSpecialtiesImg[Name], 0)), "")</f>
        <v>#VALUE!</v>
      </c>
      <c r="C5" s="36" t="s">
        <v>114</v>
      </c>
      <c r="D5" s="176" t="s">
        <v>724</v>
      </c>
      <c r="E5" s="144">
        <f>SUMIF(LocalSpecialties3[Local Specialties],Ascension_Flower[[#This Row],[Specialty]],LocalSpecialties3[Need to Farm])</f>
        <v>320</v>
      </c>
      <c r="F5" s="36">
        <f>IFERROR(INDEX(LocalSpecialtiesInv[Quantity], MATCH(Ascension_Flower[[#This Row],[Specialty]], LocalSpecialtiesInv[Icon], 0)), "")</f>
        <v>190</v>
      </c>
      <c r="G5" s="149">
        <f>Ascension_Flower[[#This Row],[Need to Farm]]-Ascension_Flower[[#This Row],[Acquired]]</f>
        <v>130</v>
      </c>
    </row>
    <row r="6" spans="1:7" ht="30" customHeight="1" x14ac:dyDescent="0.25">
      <c r="A6" s="144">
        <f>SUBTOTAL(3,$B$3:Ascension_Flower[[#This Row],[Specialty]])</f>
        <v>4</v>
      </c>
      <c r="B6" s="36" t="e" vm="11">
        <f>IFERROR(INDEX(LocalSpecialtiesImg[Icon], MATCH(Ascension_Flower[[#This Row],[HelperName]],LocalSpecialtiesImg[Name], 0)), "")</f>
        <v>#VALUE!</v>
      </c>
      <c r="C6" s="36" t="s">
        <v>129</v>
      </c>
      <c r="D6" s="176" t="s">
        <v>129</v>
      </c>
      <c r="E6" s="144">
        <f>SUMIF(LocalSpecialties3[Local Specialties],Ascension_Flower[[#This Row],[Specialty]],LocalSpecialties3[Need to Farm])</f>
        <v>0</v>
      </c>
      <c r="F6" s="36">
        <f>IFERROR(INDEX(LocalSpecialtiesInv[Quantity], MATCH(Ascension_Flower[[#This Row],[Specialty]], LocalSpecialtiesInv[Icon], 0)), "")</f>
        <v>16</v>
      </c>
      <c r="G6" s="149">
        <f>Ascension_Flower[[#This Row],[Need to Farm]]-Ascension_Flower[[#This Row],[Acquired]]</f>
        <v>-16</v>
      </c>
    </row>
    <row r="7" spans="1:7" ht="30" customHeight="1" x14ac:dyDescent="0.25">
      <c r="A7" s="144">
        <f>SUBTOTAL(3,$B$3:Ascension_Flower[[#This Row],[Specialty]])</f>
        <v>5</v>
      </c>
      <c r="B7" s="36" t="e" vm="592">
        <f>IFERROR(INDEX(LocalSpecialtiesImg[Icon], MATCH(Ascension_Flower[[#This Row],[HelperName]],LocalSpecialtiesImg[Name], 0)), "")</f>
        <v>#VALUE!</v>
      </c>
      <c r="C7" s="36" t="s">
        <v>141</v>
      </c>
      <c r="D7" s="176" t="s">
        <v>725</v>
      </c>
      <c r="E7" s="144">
        <f>SUMIF(LocalSpecialties3[Local Specialties],Ascension_Flower[[#This Row],[Specialty]],LocalSpecialties3[Need to Farm])</f>
        <v>60</v>
      </c>
      <c r="F7" s="36">
        <f>IFERROR(INDEX(LocalSpecialtiesInv[Quantity], MATCH(Ascension_Flower[[#This Row],[Specialty]], LocalSpecialtiesInv[Icon], 0)), "")</f>
        <v>60</v>
      </c>
      <c r="G7" s="149">
        <f>Ascension_Flower[[#This Row],[Need to Farm]]-Ascension_Flower[[#This Row],[Acquired]]</f>
        <v>0</v>
      </c>
    </row>
    <row r="8" spans="1:7" ht="30" customHeight="1" x14ac:dyDescent="0.25">
      <c r="A8" s="144">
        <f>SUBTOTAL(3,$B$3:Ascension_Flower[[#This Row],[Specialty]])</f>
        <v>6</v>
      </c>
      <c r="B8" s="36" t="e" vm="213">
        <f>IFERROR(INDEX(LocalSpecialtiesImg[Icon], MATCH(Ascension_Flower[[#This Row],[HelperName]],LocalSpecialtiesImg[Name], 0)), "")</f>
        <v>#VALUE!</v>
      </c>
      <c r="C8" s="36" t="s">
        <v>153</v>
      </c>
      <c r="D8" s="176" t="s">
        <v>726</v>
      </c>
      <c r="E8" s="144">
        <f>SUMIF(LocalSpecialties3[Local Specialties],Ascension_Flower[[#This Row],[Specialty]],LocalSpecialties3[Need to Farm])</f>
        <v>270</v>
      </c>
      <c r="F8" s="36">
        <f>IFERROR(INDEX(LocalSpecialtiesInv[Quantity], MATCH(Ascension_Flower[[#This Row],[Specialty]], LocalSpecialtiesInv[Icon], 0)), "")</f>
        <v>49</v>
      </c>
      <c r="G8" s="149">
        <f>Ascension_Flower[[#This Row],[Need to Farm]]-Ascension_Flower[[#This Row],[Acquired]]</f>
        <v>221</v>
      </c>
    </row>
    <row r="9" spans="1:7" ht="30" customHeight="1" x14ac:dyDescent="0.25">
      <c r="A9" s="144">
        <f>SUBTOTAL(3,$B$3:Ascension_Flower[[#This Row],[Specialty]])</f>
        <v>7</v>
      </c>
      <c r="B9" s="36" t="e" vm="352">
        <f>IFERROR(INDEX(LocalSpecialtiesImg[Icon], MATCH(Ascension_Flower[[#This Row],[HelperName]],LocalSpecialtiesImg[Name], 0)), "")</f>
        <v>#VALUE!</v>
      </c>
      <c r="C9" s="36" t="s">
        <v>166</v>
      </c>
      <c r="D9" s="176" t="s">
        <v>727</v>
      </c>
      <c r="E9" s="144">
        <f>SUMIF(LocalSpecialties3[Local Specialties],Ascension_Flower[[#This Row],[Specialty]],LocalSpecialties3[Need to Farm])</f>
        <v>330</v>
      </c>
      <c r="F9" s="36">
        <f>IFERROR(INDEX(LocalSpecialtiesInv[Quantity], MATCH(Ascension_Flower[[#This Row],[Specialty]], LocalSpecialtiesInv[Icon], 0)), "")</f>
        <v>84</v>
      </c>
      <c r="G9" s="149">
        <f>Ascension_Flower[[#This Row],[Need to Farm]]-Ascension_Flower[[#This Row],[Acquired]]</f>
        <v>246</v>
      </c>
    </row>
    <row r="10" spans="1:7" ht="30" customHeight="1" x14ac:dyDescent="0.25">
      <c r="A10" s="144">
        <f>SUBTOTAL(3,$B$3:Ascension_Flower[[#This Row],[Specialty]])</f>
        <v>8</v>
      </c>
      <c r="B10" s="36" t="e" vm="134">
        <f>IFERROR(INDEX(LocalSpecialtiesImg[Icon], MATCH(Ascension_Flower[[#This Row],[HelperName]],LocalSpecialtiesImg[Name], 0)), "")</f>
        <v>#VALUE!</v>
      </c>
      <c r="C10" s="36" t="s">
        <v>177</v>
      </c>
      <c r="D10" s="176" t="s">
        <v>728</v>
      </c>
      <c r="E10" s="144">
        <f>SUMIF(LocalSpecialties3[Local Specialties],Ascension_Flower[[#This Row],[Specialty]],LocalSpecialties3[Need to Farm])</f>
        <v>165</v>
      </c>
      <c r="F10" s="36">
        <f>IFERROR(INDEX(LocalSpecialtiesInv[Quantity], MATCH(Ascension_Flower[[#This Row],[Specialty]], LocalSpecialtiesInv[Icon], 0)), "")</f>
        <v>24</v>
      </c>
      <c r="G10" s="149">
        <f>Ascension_Flower[[#This Row],[Need to Farm]]-Ascension_Flower[[#This Row],[Acquired]]</f>
        <v>141</v>
      </c>
    </row>
    <row r="11" spans="1:7" ht="30" customHeight="1" x14ac:dyDescent="0.25">
      <c r="A11" s="144">
        <f>SUBTOTAL(3,$B$3:Ascension_Flower[[#This Row],[Specialty]])</f>
        <v>9</v>
      </c>
      <c r="B11" s="36" t="e" vm="426">
        <f>IFERROR(INDEX(LocalSpecialtiesImg[Icon], MATCH(Ascension_Flower[[#This Row],[HelperName]],LocalSpecialtiesImg[Name], 0)), "")</f>
        <v>#VALUE!</v>
      </c>
      <c r="C11" s="36" t="s">
        <v>186</v>
      </c>
      <c r="D11" s="176" t="s">
        <v>186</v>
      </c>
      <c r="E11" s="144">
        <f>SUMIF(LocalSpecialties3[Local Specialties],Ascension_Flower[[#This Row],[Specialty]],LocalSpecialties3[Need to Farm])</f>
        <v>165</v>
      </c>
      <c r="F11" s="36">
        <f>IFERROR(INDEX(LocalSpecialtiesInv[Quantity], MATCH(Ascension_Flower[[#This Row],[Specialty]], LocalSpecialtiesInv[Icon], 0)), "")</f>
        <v>167</v>
      </c>
      <c r="G11" s="149">
        <f>Ascension_Flower[[#This Row],[Need to Farm]]-Ascension_Flower[[#This Row],[Acquired]]</f>
        <v>-2</v>
      </c>
    </row>
    <row r="12" spans="1:7" ht="30" customHeight="1" x14ac:dyDescent="0.25">
      <c r="A12" s="144">
        <f>SUBTOTAL(3,$B$3:Ascension_Flower[[#This Row],[Specialty]])</f>
        <v>10</v>
      </c>
      <c r="B12" s="36" t="e" vm="618">
        <f>IFERROR(INDEX(LocalSpecialtiesImg[Icon], MATCH(Ascension_Flower[[#This Row],[HelperName]],LocalSpecialtiesImg[Name], 0)), "")</f>
        <v>#VALUE!</v>
      </c>
      <c r="C12" s="36" t="s">
        <v>197</v>
      </c>
      <c r="D12" s="176" t="s">
        <v>729</v>
      </c>
      <c r="E12" s="144">
        <f>SUMIF(LocalSpecialties3[Local Specialties],Ascension_Flower[[#This Row],[Specialty]],LocalSpecialties3[Need to Farm])</f>
        <v>165</v>
      </c>
      <c r="F12" s="36">
        <f>IFERROR(INDEX(LocalSpecialtiesInv[Quantity], MATCH(Ascension_Flower[[#This Row],[Specialty]], LocalSpecialtiesInv[Icon], 0)), "")</f>
        <v>169</v>
      </c>
      <c r="G12" s="149">
        <f>Ascension_Flower[[#This Row],[Need to Farm]]-Ascension_Flower[[#This Row],[Acquired]]</f>
        <v>-4</v>
      </c>
    </row>
    <row r="13" spans="1:7" ht="30" customHeight="1" x14ac:dyDescent="0.25">
      <c r="A13" s="144">
        <f>SUBTOTAL(3,$B$3:Ascension_Flower[[#This Row],[Specialty]])</f>
        <v>11</v>
      </c>
      <c r="B13" s="36" t="e" vm="576">
        <f>IFERROR(INDEX(LocalSpecialtiesImg[Icon], MATCH(Ascension_Flower[[#This Row],[HelperName]],LocalSpecialtiesImg[Name], 0)), "")</f>
        <v>#VALUE!</v>
      </c>
      <c r="C13" s="36" t="s">
        <v>206</v>
      </c>
      <c r="D13" s="176" t="s">
        <v>730</v>
      </c>
      <c r="E13" s="144">
        <f>SUMIF(LocalSpecialties3[Local Specialties],Ascension_Flower[[#This Row],[Specialty]],LocalSpecialties3[Need to Farm])</f>
        <v>165</v>
      </c>
      <c r="F13" s="36">
        <f>IFERROR(INDEX(LocalSpecialtiesInv[Quantity], MATCH(Ascension_Flower[[#This Row],[Specialty]], LocalSpecialtiesInv[Icon], 0)), "")</f>
        <v>216</v>
      </c>
      <c r="G13" s="149">
        <f>Ascension_Flower[[#This Row],[Need to Farm]]-Ascension_Flower[[#This Row],[Acquired]]</f>
        <v>-51</v>
      </c>
    </row>
    <row r="14" spans="1:7" ht="30" customHeight="1" x14ac:dyDescent="0.25">
      <c r="A14" s="144">
        <f>SUBTOTAL(3,$B$3:Ascension_Flower[[#This Row],[Specialty]])</f>
        <v>12</v>
      </c>
      <c r="B14" s="36" t="e" vm="76">
        <f>IFERROR(INDEX(LocalSpecialtiesImg[Icon], MATCH(Ascension_Flower[[#This Row],[HelperName]],LocalSpecialtiesImg[Name], 0)), "")</f>
        <v>#VALUE!</v>
      </c>
      <c r="C14" s="36" t="s">
        <v>215</v>
      </c>
      <c r="D14" s="176" t="s">
        <v>731</v>
      </c>
      <c r="E14" s="144">
        <f>SUMIF(LocalSpecialties3[Local Specialties],Ascension_Flower[[#This Row],[Specialty]],LocalSpecialties3[Need to Farm])</f>
        <v>165</v>
      </c>
      <c r="F14" s="36">
        <f>IFERROR(INDEX(LocalSpecialtiesInv[Quantity], MATCH(Ascension_Flower[[#This Row],[Specialty]], LocalSpecialtiesInv[Icon], 0)), "")</f>
        <v>26</v>
      </c>
      <c r="G14" s="149">
        <f>Ascension_Flower[[#This Row],[Need to Farm]]-Ascension_Flower[[#This Row],[Acquired]]</f>
        <v>139</v>
      </c>
    </row>
    <row r="15" spans="1:7" ht="30" customHeight="1" x14ac:dyDescent="0.25">
      <c r="A15" s="144">
        <f>SUBTOTAL(3,$B$3:Ascension_Flower[[#This Row],[Specialty]])</f>
        <v>13</v>
      </c>
      <c r="B15" s="36" t="e" vm="621">
        <f>IFERROR(INDEX(LocalSpecialtiesImg[Icon], MATCH(Ascension_Flower[[#This Row],[HelperName]],LocalSpecialtiesImg[Name], 0)), "")</f>
        <v>#VALUE!</v>
      </c>
      <c r="C15" s="36" t="s">
        <v>226</v>
      </c>
      <c r="D15" s="176" t="s">
        <v>732</v>
      </c>
      <c r="E15" s="144">
        <f>SUMIF(LocalSpecialties3[Local Specialties],Ascension_Flower[[#This Row],[Specialty]],LocalSpecialties3[Need to Farm])</f>
        <v>165</v>
      </c>
      <c r="F15" s="36">
        <f>IFERROR(INDEX(LocalSpecialtiesInv[Quantity], MATCH(Ascension_Flower[[#This Row],[Specialty]], LocalSpecialtiesInv[Icon], 0)), "")</f>
        <v>171</v>
      </c>
      <c r="G15" s="149">
        <f>Ascension_Flower[[#This Row],[Need to Farm]]-Ascension_Flower[[#This Row],[Acquired]]</f>
        <v>-6</v>
      </c>
    </row>
    <row r="16" spans="1:7" ht="30" customHeight="1" x14ac:dyDescent="0.25">
      <c r="A16" s="144">
        <f>SUBTOTAL(3,$B$3:Ascension_Flower[[#This Row],[Specialty]])</f>
        <v>14</v>
      </c>
      <c r="B16" s="36" t="e" vm="507">
        <f>IFERROR(INDEX(LocalSpecialtiesImg[Icon], MATCH(Ascension_Flower[[#This Row],[HelperName]],LocalSpecialtiesImg[Name], 0)), "")</f>
        <v>#VALUE!</v>
      </c>
      <c r="C16" s="36" t="s">
        <v>235</v>
      </c>
      <c r="D16" s="176" t="s">
        <v>733</v>
      </c>
      <c r="E16" s="144">
        <f>SUMIF(LocalSpecialties3[Local Specialties],Ascension_Flower[[#This Row],[Specialty]],LocalSpecialties3[Need to Farm])</f>
        <v>135</v>
      </c>
      <c r="F16" s="36">
        <f>IFERROR(INDEX(LocalSpecialtiesInv[Quantity], MATCH(Ascension_Flower[[#This Row],[Specialty]], LocalSpecialtiesInv[Icon], 0)), "")</f>
        <v>12</v>
      </c>
      <c r="G16" s="149">
        <f>Ascension_Flower[[#This Row],[Need to Farm]]-Ascension_Flower[[#This Row],[Acquired]]</f>
        <v>123</v>
      </c>
    </row>
    <row r="17" spans="1:7" ht="30" customHeight="1" x14ac:dyDescent="0.25">
      <c r="A17" s="144">
        <f>SUBTOTAL(3,$B$3:Ascension_Flower[[#This Row],[Specialty]])</f>
        <v>15</v>
      </c>
      <c r="B17" s="36" t="e" vm="116">
        <f>IFERROR(INDEX(LocalSpecialtiesImg[Icon], MATCH(Ascension_Flower[[#This Row],[HelperName]],LocalSpecialtiesImg[Name], 0)), "")</f>
        <v>#VALUE!</v>
      </c>
      <c r="C17" s="36" t="s">
        <v>244</v>
      </c>
      <c r="D17" s="176" t="s">
        <v>734</v>
      </c>
      <c r="E17" s="144">
        <f>SUMIF(LocalSpecialties3[Local Specialties],Ascension_Flower[[#This Row],[Specialty]],LocalSpecialties3[Need to Farm])</f>
        <v>0</v>
      </c>
      <c r="F17" s="36">
        <f>IFERROR(INDEX(LocalSpecialtiesInv[Quantity], MATCH(Ascension_Flower[[#This Row],[Specialty]], LocalSpecialtiesInv[Icon], 0)), "")</f>
        <v>33</v>
      </c>
      <c r="G17" s="149">
        <f>Ascension_Flower[[#This Row],[Need to Farm]]-Ascension_Flower[[#This Row],[Acquired]]</f>
        <v>-33</v>
      </c>
    </row>
    <row r="18" spans="1:7" ht="30" customHeight="1" x14ac:dyDescent="0.25">
      <c r="A18" s="144">
        <f>SUBTOTAL(3,$B$3:Ascension_Flower[[#This Row],[Specialty]])</f>
        <v>16</v>
      </c>
      <c r="B18" s="36" t="e" vm="262">
        <f>IFERROR(INDEX(LocalSpecialtiesImg[Icon], MATCH(Ascension_Flower[[#This Row],[HelperName]],LocalSpecialtiesImg[Name], 0)), "")</f>
        <v>#VALUE!</v>
      </c>
      <c r="C18" s="36" t="s">
        <v>255</v>
      </c>
      <c r="D18" s="176" t="s">
        <v>735</v>
      </c>
      <c r="E18" s="144">
        <f>SUMIF(LocalSpecialties3[Local Specialties],Ascension_Flower[[#This Row],[Specialty]],LocalSpecialties3[Need to Farm])</f>
        <v>165</v>
      </c>
      <c r="F18" s="36">
        <f>IFERROR(INDEX(LocalSpecialtiesInv[Quantity], MATCH(Ascension_Flower[[#This Row],[Specialty]], LocalSpecialtiesInv[Icon], 0)), "")</f>
        <v>167</v>
      </c>
      <c r="G18" s="149">
        <f>Ascension_Flower[[#This Row],[Need to Farm]]-Ascension_Flower[[#This Row],[Acquired]]</f>
        <v>-2</v>
      </c>
    </row>
    <row r="19" spans="1:7" ht="30" customHeight="1" x14ac:dyDescent="0.25">
      <c r="A19" s="144">
        <f>SUBTOTAL(3,$B$3:Ascension_Flower[[#This Row],[Specialty]])</f>
        <v>17</v>
      </c>
      <c r="B19" s="36" t="e" vm="96">
        <f>IFERROR(INDEX(LocalSpecialtiesImg[Icon], MATCH(Ascension_Flower[[#This Row],[HelperName]],LocalSpecialtiesImg[Name], 0)), "")</f>
        <v>#VALUE!</v>
      </c>
      <c r="C19" s="36" t="s">
        <v>264</v>
      </c>
      <c r="D19" s="176" t="s">
        <v>264</v>
      </c>
      <c r="E19" s="144">
        <f>SUMIF(LocalSpecialties3[Local Specialties],Ascension_Flower[[#This Row],[Specialty]],LocalSpecialties3[Need to Farm])</f>
        <v>0</v>
      </c>
      <c r="F19" s="36">
        <f>IFERROR(INDEX(LocalSpecialtiesInv[Quantity], MATCH(Ascension_Flower[[#This Row],[Specialty]], LocalSpecialtiesInv[Icon], 0)), "")</f>
        <v>35</v>
      </c>
      <c r="G19" s="149">
        <f>Ascension_Flower[[#This Row],[Need to Farm]]-Ascension_Flower[[#This Row],[Acquired]]</f>
        <v>-35</v>
      </c>
    </row>
    <row r="20" spans="1:7" ht="30" customHeight="1" x14ac:dyDescent="0.25">
      <c r="A20" s="144">
        <f>SUBTOTAL(3,$B$3:Ascension_Flower[[#This Row],[Specialty]])</f>
        <v>18</v>
      </c>
      <c r="B20" s="36" t="e" vm="523">
        <f>IFERROR(INDEX(LocalSpecialtiesImg[Icon], MATCH(Ascension_Flower[[#This Row],[HelperName]],LocalSpecialtiesImg[Name], 0)), "")</f>
        <v>#VALUE!</v>
      </c>
      <c r="C20" s="36" t="s">
        <v>273</v>
      </c>
      <c r="D20" s="176" t="s">
        <v>736</v>
      </c>
      <c r="E20" s="144">
        <f>SUMIF(LocalSpecialties3[Local Specialties],Ascension_Flower[[#This Row],[Specialty]],LocalSpecialties3[Need to Farm])</f>
        <v>165</v>
      </c>
      <c r="F20" s="36">
        <f>IFERROR(INDEX(LocalSpecialtiesInv[Quantity], MATCH(Ascension_Flower[[#This Row],[Specialty]], LocalSpecialtiesInv[Icon], 0)), "")</f>
        <v>24</v>
      </c>
      <c r="G20" s="149">
        <f>Ascension_Flower[[#This Row],[Need to Farm]]-Ascension_Flower[[#This Row],[Acquired]]</f>
        <v>141</v>
      </c>
    </row>
    <row r="21" spans="1:7" ht="30" customHeight="1" x14ac:dyDescent="0.25">
      <c r="A21" s="144">
        <f>SUBTOTAL(3,$B$3:Ascension_Flower[[#This Row],[Specialty]])</f>
        <v>19</v>
      </c>
      <c r="B21" s="36" t="e" vm="241">
        <f>IFERROR(INDEX(LocalSpecialtiesImg[Icon], MATCH(Ascension_Flower[[#This Row],[HelperName]],LocalSpecialtiesImg[Name], 0)), "")</f>
        <v>#VALUE!</v>
      </c>
      <c r="C21" s="36" t="s">
        <v>283</v>
      </c>
      <c r="D21" s="176" t="s">
        <v>737</v>
      </c>
      <c r="E21" s="144">
        <f>SUMIF(LocalSpecialties3[Local Specialties],Ascension_Flower[[#This Row],[Specialty]],LocalSpecialties3[Need to Farm])</f>
        <v>0</v>
      </c>
      <c r="F21" s="36">
        <f>IFERROR(INDEX(LocalSpecialtiesInv[Quantity], MATCH(Ascension_Flower[[#This Row],[Specialty]], LocalSpecialtiesInv[Icon], 0)), "")</f>
        <v>71</v>
      </c>
      <c r="G21" s="149">
        <f>Ascension_Flower[[#This Row],[Need to Farm]]-Ascension_Flower[[#This Row],[Acquired]]</f>
        <v>-71</v>
      </c>
    </row>
    <row r="22" spans="1:7" ht="30" customHeight="1" x14ac:dyDescent="0.25">
      <c r="A22" s="144">
        <f>SUBTOTAL(3,$B$3:Ascension_Flower[[#This Row],[Specialty]])</f>
        <v>20</v>
      </c>
      <c r="B22" s="36" t="e" vm="251">
        <f>IFERROR(INDEX(LocalSpecialtiesImg[Icon], MATCH(Ascension_Flower[[#This Row],[HelperName]],LocalSpecialtiesImg[Name], 0)), "")</f>
        <v>#VALUE!</v>
      </c>
      <c r="C22" s="36" t="s">
        <v>292</v>
      </c>
      <c r="D22" s="176" t="s">
        <v>738</v>
      </c>
      <c r="E22" s="144">
        <f>SUMIF(LocalSpecialties3[Local Specialties],Ascension_Flower[[#This Row],[Specialty]],LocalSpecialties3[Need to Farm])</f>
        <v>165</v>
      </c>
      <c r="F22" s="36">
        <f>IFERROR(INDEX(LocalSpecialtiesInv[Quantity], MATCH(Ascension_Flower[[#This Row],[Specialty]], LocalSpecialtiesInv[Icon], 0)), "")</f>
        <v>6</v>
      </c>
      <c r="G22" s="149">
        <f>Ascension_Flower[[#This Row],[Need to Farm]]-Ascension_Flower[[#This Row],[Acquired]]</f>
        <v>159</v>
      </c>
    </row>
    <row r="23" spans="1:7" ht="30" customHeight="1" x14ac:dyDescent="0.25">
      <c r="A23" s="144">
        <f>SUBTOTAL(3,$B$3:Ascension_Flower[[#This Row],[Specialty]])</f>
        <v>21</v>
      </c>
      <c r="B23" s="36" t="e" vm="487">
        <f>IFERROR(INDEX(LocalSpecialtiesImg[Icon], MATCH(Ascension_Flower[[#This Row],[HelperName]],LocalSpecialtiesImg[Name], 0)), "")</f>
        <v>#VALUE!</v>
      </c>
      <c r="C23" s="36" t="s">
        <v>301</v>
      </c>
      <c r="D23" s="176" t="s">
        <v>739</v>
      </c>
      <c r="E23" s="144">
        <f>SUMIF(LocalSpecialties3[Local Specialties],Ascension_Flower[[#This Row],[Specialty]],LocalSpecialties3[Need to Farm])</f>
        <v>195</v>
      </c>
      <c r="F23" s="36">
        <f>IFERROR(INDEX(LocalSpecialtiesInv[Quantity], MATCH(Ascension_Flower[[#This Row],[Specialty]], LocalSpecialtiesInv[Icon], 0)), "")</f>
        <v>199</v>
      </c>
      <c r="G23" s="149">
        <f>Ascension_Flower[[#This Row],[Need to Farm]]-Ascension_Flower[[#This Row],[Acquired]]</f>
        <v>-4</v>
      </c>
    </row>
    <row r="24" spans="1:7" ht="30" customHeight="1" x14ac:dyDescent="0.25">
      <c r="A24" s="144">
        <f>SUBTOTAL(3,$B$3:Ascension_Flower[[#This Row],[Specialty]])</f>
        <v>22</v>
      </c>
      <c r="B24" s="36" t="e" vm="481">
        <f>IFERROR(INDEX(LocalSpecialtiesImg[Icon], MATCH(Ascension_Flower[[#This Row],[HelperName]],LocalSpecialtiesImg[Name], 0)), "")</f>
        <v>#VALUE!</v>
      </c>
      <c r="C24" s="36" t="s">
        <v>312</v>
      </c>
      <c r="D24" s="176" t="s">
        <v>312</v>
      </c>
      <c r="E24" s="144">
        <f>SUMIF(LocalSpecialties3[Local Specialties],Ascension_Flower[[#This Row],[Specialty]],LocalSpecialties3[Need to Farm])</f>
        <v>135</v>
      </c>
      <c r="F24" s="36">
        <f>IFERROR(INDEX(LocalSpecialtiesInv[Quantity], MATCH(Ascension_Flower[[#This Row],[Specialty]], LocalSpecialtiesInv[Icon], 0)), "")</f>
        <v>80</v>
      </c>
      <c r="G24" s="149">
        <f>Ascension_Flower[[#This Row],[Need to Farm]]-Ascension_Flower[[#This Row],[Acquired]]</f>
        <v>55</v>
      </c>
    </row>
    <row r="25" spans="1:7" ht="30" customHeight="1" x14ac:dyDescent="0.25">
      <c r="A25" s="144">
        <f>SUBTOTAL(3,$B$3:Ascension_Flower[[#This Row],[Specialty]])</f>
        <v>23</v>
      </c>
      <c r="B25" s="36" t="e" vm="273">
        <f>IFERROR(INDEX(LocalSpecialtiesImg[Icon], MATCH(Ascension_Flower[[#This Row],[HelperName]],LocalSpecialtiesImg[Name], 0)), "")</f>
        <v>#VALUE!</v>
      </c>
      <c r="C25" s="36" t="s">
        <v>321</v>
      </c>
      <c r="D25" s="176" t="s">
        <v>321</v>
      </c>
      <c r="E25" s="144">
        <f>SUMIF(LocalSpecialties3[Local Specialties],Ascension_Flower[[#This Row],[Specialty]],LocalSpecialties3[Need to Farm])</f>
        <v>0</v>
      </c>
      <c r="F25" s="36">
        <f>IFERROR(INDEX(LocalSpecialtiesInv[Quantity], MATCH(Ascension_Flower[[#This Row],[Specialty]], LocalSpecialtiesInv[Icon], 0)), "")</f>
        <v>69</v>
      </c>
      <c r="G25" s="149">
        <f>Ascension_Flower[[#This Row],[Need to Farm]]-Ascension_Flower[[#This Row],[Acquired]]</f>
        <v>-69</v>
      </c>
    </row>
    <row r="26" spans="1:7" ht="30" customHeight="1" x14ac:dyDescent="0.25">
      <c r="A26" s="144">
        <f>SUBTOTAL(3,$B$3:Ascension_Flower[[#This Row],[Specialty]])</f>
        <v>24</v>
      </c>
      <c r="B26" s="36" t="e" vm="556">
        <f>IFERROR(INDEX(LocalSpecialtiesImg[Icon], MATCH(Ascension_Flower[[#This Row],[HelperName]],LocalSpecialtiesImg[Name], 0)), "")</f>
        <v>#VALUE!</v>
      </c>
      <c r="C26" s="36" t="s">
        <v>329</v>
      </c>
      <c r="D26" s="176" t="s">
        <v>740</v>
      </c>
      <c r="E26" s="144">
        <f>SUMIF(LocalSpecialties3[Local Specialties],Ascension_Flower[[#This Row],[Specialty]],LocalSpecialties3[Need to Farm])</f>
        <v>0</v>
      </c>
      <c r="F26" s="36">
        <f>IFERROR(INDEX(LocalSpecialtiesInv[Quantity], MATCH(Ascension_Flower[[#This Row],[Specialty]], LocalSpecialtiesInv[Icon], 0)), "")</f>
        <v>7</v>
      </c>
      <c r="G26" s="149">
        <f>Ascension_Flower[[#This Row],[Need to Farm]]-Ascension_Flower[[#This Row],[Acquired]]</f>
        <v>-7</v>
      </c>
    </row>
    <row r="27" spans="1:7" ht="30" customHeight="1" x14ac:dyDescent="0.25">
      <c r="A27" s="144">
        <f>SUBTOTAL(3,$B$3:Ascension_Flower[[#This Row],[Specialty]])</f>
        <v>25</v>
      </c>
      <c r="B27" s="36" t="e" vm="409">
        <f>IFERROR(INDEX(LocalSpecialtiesImg[Icon], MATCH(Ascension_Flower[[#This Row],[HelperName]],LocalSpecialtiesImg[Name], 0)), "")</f>
        <v>#VALUE!</v>
      </c>
      <c r="C27" s="36" t="s">
        <v>339</v>
      </c>
      <c r="D27" s="176" t="s">
        <v>339</v>
      </c>
      <c r="E27" s="144">
        <f>SUMIF(LocalSpecialties3[Local Specialties],Ascension_Flower[[#This Row],[Specialty]],LocalSpecialties3[Need to Farm])</f>
        <v>0</v>
      </c>
      <c r="F27" s="36">
        <f>IFERROR(INDEX(LocalSpecialtiesInv[Quantity], MATCH(Ascension_Flower[[#This Row],[Specialty]], LocalSpecialtiesInv[Icon], 0)), "")</f>
        <v>113</v>
      </c>
      <c r="G27" s="149">
        <f>Ascension_Flower[[#This Row],[Need to Farm]]-Ascension_Flower[[#This Row],[Acquired]]</f>
        <v>-113</v>
      </c>
    </row>
    <row r="28" spans="1:7" ht="30" customHeight="1" x14ac:dyDescent="0.25">
      <c r="A28" s="144">
        <f>SUBTOTAL(3,$B$3:Ascension_Flower[[#This Row],[Specialty]])</f>
        <v>26</v>
      </c>
      <c r="B28" s="36" t="e" vm="436">
        <f>IFERROR(INDEX(LocalSpecialtiesImg[Icon], MATCH(Ascension_Flower[[#This Row],[HelperName]],LocalSpecialtiesImg[Name], 0)), "")</f>
        <v>#VALUE!</v>
      </c>
      <c r="C28" s="36" t="s">
        <v>348</v>
      </c>
      <c r="D28" s="176" t="s">
        <v>741</v>
      </c>
      <c r="E28" s="144">
        <f>SUMIF(LocalSpecialties3[Local Specialties],Ascension_Flower[[#This Row],[Specialty]],LocalSpecialties3[Need to Farm])</f>
        <v>0</v>
      </c>
      <c r="F28" s="36">
        <f>IFERROR(INDEX(LocalSpecialtiesInv[Quantity], MATCH(Ascension_Flower[[#This Row],[Specialty]], LocalSpecialtiesInv[Icon], 0)), "")</f>
        <v>6</v>
      </c>
      <c r="G28" s="149">
        <f>Ascension_Flower[[#This Row],[Need to Farm]]-Ascension_Flower[[#This Row],[Acquired]]</f>
        <v>-6</v>
      </c>
    </row>
    <row r="29" spans="1:7" ht="30" customHeight="1" x14ac:dyDescent="0.25">
      <c r="A29" s="144">
        <f>SUBTOTAL(3,$B$3:Ascension_Flower[[#This Row],[Specialty]])</f>
        <v>27</v>
      </c>
      <c r="B29" s="36" t="e" vm="515">
        <f>IFERROR(INDEX(LocalSpecialtiesImg[Icon], MATCH(Ascension_Flower[[#This Row],[HelperName]],LocalSpecialtiesImg[Name], 0)), "")</f>
        <v>#VALUE!</v>
      </c>
      <c r="C29" s="36" t="s">
        <v>357</v>
      </c>
      <c r="D29" s="176" t="s">
        <v>742</v>
      </c>
      <c r="E29" s="144">
        <f>SUMIF(LocalSpecialties3[Local Specialties],Ascension_Flower[[#This Row],[Specialty]],LocalSpecialties3[Need to Farm])</f>
        <v>165</v>
      </c>
      <c r="F29" s="36">
        <f>IFERROR(INDEX(LocalSpecialtiesInv[Quantity], MATCH(Ascension_Flower[[#This Row],[Specialty]], LocalSpecialtiesInv[Icon], 0)), "")</f>
        <v>112</v>
      </c>
      <c r="G29" s="149">
        <f>Ascension_Flower[[#This Row],[Need to Farm]]-Ascension_Flower[[#This Row],[Acquired]]</f>
        <v>53</v>
      </c>
    </row>
    <row r="30" spans="1:7" ht="30" customHeight="1" x14ac:dyDescent="0.25">
      <c r="A30" s="144">
        <f>SUBTOTAL(3,$B$3:Ascension_Flower[[#This Row],[Specialty]])</f>
        <v>28</v>
      </c>
      <c r="B30" s="36" t="e" vm="371">
        <f>IFERROR(INDEX(LocalSpecialtiesImg[Icon], MATCH(Ascension_Flower[[#This Row],[HelperName]],LocalSpecialtiesImg[Name], 0)), "")</f>
        <v>#VALUE!</v>
      </c>
      <c r="C30" s="36" t="s">
        <v>368</v>
      </c>
      <c r="D30" s="176" t="s">
        <v>743</v>
      </c>
      <c r="E30" s="144">
        <f>SUMIF(LocalSpecialties3[Local Specialties],Ascension_Flower[[#This Row],[Specialty]],LocalSpecialties3[Need to Farm])</f>
        <v>165</v>
      </c>
      <c r="F30" s="36">
        <f>IFERROR(INDEX(LocalSpecialtiesInv[Quantity], MATCH(Ascension_Flower[[#This Row],[Specialty]], LocalSpecialtiesInv[Icon], 0)), "")</f>
        <v>17</v>
      </c>
      <c r="G30" s="149">
        <f>Ascension_Flower[[#This Row],[Need to Farm]]-Ascension_Flower[[#This Row],[Acquired]]</f>
        <v>148</v>
      </c>
    </row>
    <row r="31" spans="1:7" ht="30" customHeight="1" x14ac:dyDescent="0.25">
      <c r="A31" s="144">
        <f>SUBTOTAL(3,$B$3:Ascension_Flower[[#This Row],[Specialty]])</f>
        <v>29</v>
      </c>
      <c r="B31" s="36" t="e" vm="185">
        <f>IFERROR(INDEX(LocalSpecialtiesImg[Icon], MATCH(Ascension_Flower[[#This Row],[HelperName]],LocalSpecialtiesImg[Name], 0)), "")</f>
        <v>#VALUE!</v>
      </c>
      <c r="C31" s="36" t="s">
        <v>377</v>
      </c>
      <c r="D31" s="176" t="s">
        <v>744</v>
      </c>
      <c r="E31" s="144">
        <f>SUMIF(LocalSpecialties3[Local Specialties],Ascension_Flower[[#This Row],[Specialty]],LocalSpecialties3[Need to Farm])</f>
        <v>0</v>
      </c>
      <c r="F31" s="36">
        <f>IFERROR(INDEX(LocalSpecialtiesInv[Quantity], MATCH(Ascension_Flower[[#This Row],[Specialty]], LocalSpecialtiesInv[Icon], 0)), "")</f>
        <v>17</v>
      </c>
      <c r="G31" s="149">
        <f>Ascension_Flower[[#This Row],[Need to Farm]]-Ascension_Flower[[#This Row],[Acquired]]</f>
        <v>-17</v>
      </c>
    </row>
    <row r="32" spans="1:7" ht="30" customHeight="1" x14ac:dyDescent="0.25">
      <c r="A32" s="144">
        <f>SUBTOTAL(3,$B$3:Ascension_Flower[[#This Row],[Specialty]])</f>
        <v>30</v>
      </c>
      <c r="B32" s="36" t="e" vm="33">
        <f>IFERROR(INDEX(LocalSpecialtiesImg[Icon], MATCH(Ascension_Flower[[#This Row],[HelperName]],LocalSpecialtiesImg[Name], 0)), "")</f>
        <v>#VALUE!</v>
      </c>
      <c r="C32" s="36" t="s">
        <v>385</v>
      </c>
      <c r="D32" s="176" t="s">
        <v>745</v>
      </c>
      <c r="E32" s="144">
        <f>SUMIF(LocalSpecialties3[Local Specialties],Ascension_Flower[[#This Row],[Specialty]],LocalSpecialties3[Need to Farm])</f>
        <v>165</v>
      </c>
      <c r="F32" s="36">
        <f>IFERROR(INDEX(LocalSpecialtiesInv[Quantity], MATCH(Ascension_Flower[[#This Row],[Specialty]], LocalSpecialtiesInv[Icon], 0)), "")</f>
        <v>42</v>
      </c>
      <c r="G32" s="149">
        <f>Ascension_Flower[[#This Row],[Need to Farm]]-Ascension_Flower[[#This Row],[Acquired]]</f>
        <v>123</v>
      </c>
    </row>
    <row r="33" spans="1:7" ht="30" customHeight="1" x14ac:dyDescent="0.25">
      <c r="A33" s="144">
        <f>SUBTOTAL(3,$B$3:Ascension_Flower[[#This Row],[Specialty]])</f>
        <v>31</v>
      </c>
      <c r="B33" s="36" t="e" vm="417">
        <f>IFERROR(INDEX(LocalSpecialtiesImg[Icon], MATCH(Ascension_Flower[[#This Row],[HelperName]],LocalSpecialtiesImg[Name], 0)), "")</f>
        <v>#VALUE!</v>
      </c>
      <c r="C33" s="36" t="s">
        <v>393</v>
      </c>
      <c r="D33" s="176" t="s">
        <v>746</v>
      </c>
      <c r="E33" s="144">
        <f>SUMIF(LocalSpecialties3[Local Specialties],Ascension_Flower[[#This Row],[Specialty]],LocalSpecialties3[Need to Farm])</f>
        <v>165</v>
      </c>
      <c r="F33" s="36">
        <f>IFERROR(INDEX(LocalSpecialtiesInv[Quantity], MATCH(Ascension_Flower[[#This Row],[Specialty]], LocalSpecialtiesInv[Icon], 0)), "")</f>
        <v>24</v>
      </c>
      <c r="G33" s="149">
        <f>Ascension_Flower[[#This Row],[Need to Farm]]-Ascension_Flower[[#This Row],[Acquired]]</f>
        <v>141</v>
      </c>
    </row>
    <row r="34" spans="1:7" ht="30" customHeight="1" x14ac:dyDescent="0.25">
      <c r="A34" s="144">
        <f>SUBTOTAL(3,$B$3:Ascension_Flower[[#This Row],[Specialty]])</f>
        <v>32</v>
      </c>
      <c r="B34" s="36" t="e" vm="605">
        <f>IFERROR(INDEX(LocalSpecialtiesImg[Icon], MATCH(Ascension_Flower[[#This Row],[HelperName]],LocalSpecialtiesImg[Name], 0)), "")</f>
        <v>#VALUE!</v>
      </c>
      <c r="C34" s="36" t="s">
        <v>399</v>
      </c>
      <c r="D34" s="176" t="s">
        <v>399</v>
      </c>
      <c r="E34" s="144">
        <f>SUMIF(LocalSpecialties3[Local Specialties],Ascension_Flower[[#This Row],[Specialty]],LocalSpecialties3[Need to Farm])</f>
        <v>0</v>
      </c>
      <c r="F34" s="36">
        <f>IFERROR(INDEX(LocalSpecialtiesInv[Quantity], MATCH(Ascension_Flower[[#This Row],[Specialty]], LocalSpecialtiesInv[Icon], 0)), "")</f>
        <v>60</v>
      </c>
      <c r="G34" s="149">
        <f>Ascension_Flower[[#This Row],[Need to Farm]]-Ascension_Flower[[#This Row],[Acquired]]</f>
        <v>-60</v>
      </c>
    </row>
    <row r="35" spans="1:7" ht="30" customHeight="1" x14ac:dyDescent="0.25">
      <c r="A35" s="144">
        <f>SUBTOTAL(3,$B$3:Ascension_Flower[[#This Row],[Specialty]])</f>
        <v>33</v>
      </c>
      <c r="B35" s="36" t="e" vm="152">
        <f>IFERROR(INDEX(LocalSpecialtiesImg[Icon], MATCH(Ascension_Flower[[#This Row],[HelperName]],LocalSpecialtiesImg[Name], 0)), "")</f>
        <v>#VALUE!</v>
      </c>
      <c r="C35" s="36" t="s">
        <v>405</v>
      </c>
      <c r="D35" s="176" t="s">
        <v>747</v>
      </c>
      <c r="E35" s="144">
        <f>SUMIF(LocalSpecialties3[Local Specialties],Ascension_Flower[[#This Row],[Specialty]],LocalSpecialties3[Need to Farm])</f>
        <v>0</v>
      </c>
      <c r="F35" s="36">
        <f>IFERROR(INDEX(LocalSpecialtiesInv[Quantity], MATCH(Ascension_Flower[[#This Row],[Specialty]], LocalSpecialtiesInv[Icon], 0)), "")</f>
        <v>278</v>
      </c>
      <c r="G35" s="149">
        <f>Ascension_Flower[[#This Row],[Need to Farm]]-Ascension_Flower[[#This Row],[Acquired]]</f>
        <v>-278</v>
      </c>
    </row>
    <row r="36" spans="1:7" ht="30" customHeight="1" x14ac:dyDescent="0.25">
      <c r="A36" s="144">
        <f>SUBTOTAL(3,$B$3:Ascension_Flower[[#This Row],[Specialty]])</f>
        <v>34</v>
      </c>
      <c r="B36" s="36" t="e" vm="339">
        <f>IFERROR(INDEX(LocalSpecialtiesImg[Icon], MATCH(Ascension_Flower[[#This Row],[HelperName]],LocalSpecialtiesImg[Name], 0)), "")</f>
        <v>#VALUE!</v>
      </c>
      <c r="C36" s="36" t="s">
        <v>412</v>
      </c>
      <c r="D36" s="176" t="s">
        <v>748</v>
      </c>
      <c r="E36" s="144">
        <f>SUMIF(LocalSpecialties3[Local Specialties],Ascension_Flower[[#This Row],[Specialty]],LocalSpecialties3[Need to Farm])</f>
        <v>0</v>
      </c>
      <c r="F36" s="36">
        <f>IFERROR(INDEX(LocalSpecialtiesInv[Quantity], MATCH(Ascension_Flower[[#This Row],[Specialty]], LocalSpecialtiesInv[Icon], 0)), "")</f>
        <v>516</v>
      </c>
      <c r="G36" s="149">
        <f>Ascension_Flower[[#This Row],[Need to Farm]]-Ascension_Flower[[#This Row],[Acquired]]</f>
        <v>-516</v>
      </c>
    </row>
    <row r="37" spans="1:7" ht="30" customHeight="1" x14ac:dyDescent="0.25">
      <c r="A37" s="144">
        <f>SUBTOTAL(3,$B$3:Ascension_Flower[[#This Row],[Specialty]])</f>
        <v>35</v>
      </c>
      <c r="B37" s="36" t="e" vm="361">
        <f>IFERROR(INDEX(LocalSpecialtiesImg[Icon], MATCH(Ascension_Flower[[#This Row],[HelperName]],LocalSpecialtiesImg[Name], 0)), "")</f>
        <v>#VALUE!</v>
      </c>
      <c r="C37" s="36" t="s">
        <v>418</v>
      </c>
      <c r="D37" s="176" t="s">
        <v>749</v>
      </c>
      <c r="E37" s="144">
        <f>SUMIF(LocalSpecialties3[Local Specialties],Ascension_Flower[[#This Row],[Specialty]],LocalSpecialties3[Need to Farm])</f>
        <v>300</v>
      </c>
      <c r="F37" s="36">
        <f>IFERROR(INDEX(LocalSpecialtiesInv[Quantity], MATCH(Ascension_Flower[[#This Row],[Specialty]], LocalSpecialtiesInv[Icon], 0)), "")</f>
        <v>50</v>
      </c>
      <c r="G37" s="149">
        <f>Ascension_Flower[[#This Row],[Need to Farm]]-Ascension_Flower[[#This Row],[Acquired]]</f>
        <v>250</v>
      </c>
    </row>
    <row r="38" spans="1:7" ht="30" customHeight="1" x14ac:dyDescent="0.25">
      <c r="A38" s="144">
        <f>SUBTOTAL(3,$B$3:Ascension_Flower[[#This Row],[Specialty]])</f>
        <v>36</v>
      </c>
      <c r="B38" s="36" t="e" vm="527">
        <f>IFERROR(INDEX(LocalSpecialtiesImg[Icon], MATCH(Ascension_Flower[[#This Row],[HelperName]],LocalSpecialtiesImg[Name], 0)), "")</f>
        <v>#VALUE!</v>
      </c>
      <c r="C38" s="36" t="s">
        <v>424</v>
      </c>
      <c r="D38" s="176" t="s">
        <v>750</v>
      </c>
      <c r="E38" s="144">
        <f>SUMIF(LocalSpecialties3[Local Specialties],Ascension_Flower[[#This Row],[Specialty]],LocalSpecialties3[Need to Farm])</f>
        <v>0</v>
      </c>
      <c r="F38" s="36">
        <f>IFERROR(INDEX(LocalSpecialtiesInv[Quantity], MATCH(Ascension_Flower[[#This Row],[Specialty]], LocalSpecialtiesInv[Icon], 0)), "")</f>
        <v>66</v>
      </c>
      <c r="G38" s="149">
        <f>Ascension_Flower[[#This Row],[Need to Farm]]-Ascension_Flower[[#This Row],[Acquired]]</f>
        <v>-66</v>
      </c>
    </row>
    <row r="39" spans="1:7" ht="30" customHeight="1" x14ac:dyDescent="0.25">
      <c r="A39" s="144">
        <f>SUBTOTAL(3,$B$3:Ascension_Flower[[#This Row],[Specialty]])</f>
        <v>37</v>
      </c>
      <c r="B39" s="36" t="e" vm="450">
        <f>IFERROR(INDEX(LocalSpecialtiesImg[Icon], MATCH(Ascension_Flower[[#This Row],[HelperName]],LocalSpecialtiesImg[Name], 0)), "")</f>
        <v>#VALUE!</v>
      </c>
      <c r="C39" s="36" t="s">
        <v>430</v>
      </c>
      <c r="D39" s="176" t="s">
        <v>430</v>
      </c>
      <c r="E39" s="144">
        <f>SUMIF(LocalSpecialties3[Local Specialties],Ascension_Flower[[#This Row],[Specialty]],LocalSpecialties3[Need to Farm])</f>
        <v>165</v>
      </c>
      <c r="F39" s="36">
        <f>IFERROR(INDEX(LocalSpecialtiesInv[Quantity], MATCH(Ascension_Flower[[#This Row],[Specialty]], LocalSpecialtiesInv[Icon], 0)), "")</f>
        <v>34</v>
      </c>
      <c r="G39" s="149">
        <f>Ascension_Flower[[#This Row],[Need to Farm]]-Ascension_Flower[[#This Row],[Acquired]]</f>
        <v>131</v>
      </c>
    </row>
    <row r="40" spans="1:7" ht="30" customHeight="1" x14ac:dyDescent="0.25">
      <c r="A40" s="144">
        <f>SUBTOTAL(3,$B$3:Ascension_Flower[[#This Row],[Specialty]])</f>
        <v>38</v>
      </c>
      <c r="B40" s="36" t="e" vm="588">
        <f>IFERROR(INDEX(LocalSpecialtiesImg[Icon], MATCH(Ascension_Flower[[#This Row],[HelperName]],LocalSpecialtiesImg[Name], 0)), "")</f>
        <v>#VALUE!</v>
      </c>
      <c r="C40" s="36" t="s">
        <v>436</v>
      </c>
      <c r="D40" s="176" t="s">
        <v>751</v>
      </c>
      <c r="E40" s="144">
        <f>SUMIF(LocalSpecialties3[Local Specialties],Ascension_Flower[[#This Row],[Specialty]],LocalSpecialties3[Need to Farm])</f>
        <v>0</v>
      </c>
      <c r="F40" s="36">
        <f>IFERROR(INDEX(LocalSpecialtiesInv[Quantity], MATCH(Ascension_Flower[[#This Row],[Specialty]], LocalSpecialtiesInv[Icon], 0)), "")</f>
        <v>60</v>
      </c>
      <c r="G40" s="149">
        <f>Ascension_Flower[[#This Row],[Need to Farm]]-Ascension_Flower[[#This Row],[Acquired]]</f>
        <v>-60</v>
      </c>
    </row>
    <row r="41" spans="1:7" ht="30" customHeight="1" x14ac:dyDescent="0.25">
      <c r="A41" s="144">
        <f>SUBTOTAL(3,$B$3:Ascension_Flower[[#This Row],[Specialty]])</f>
        <v>39</v>
      </c>
      <c r="B41" s="36" t="e" vm="444">
        <f>IFERROR(INDEX(LocalSpecialtiesImg[Icon], MATCH(Ascension_Flower[[#This Row],[HelperName]],LocalSpecialtiesImg[Name], 0)), "")</f>
        <v>#VALUE!</v>
      </c>
      <c r="C41" s="36" t="s">
        <v>41</v>
      </c>
      <c r="D41" s="176" t="s">
        <v>41</v>
      </c>
      <c r="E41" s="144">
        <f>SUMIF(LocalSpecialties3[Local Specialties],Ascension_Flower[[#This Row],[Specialty]],LocalSpecialties3[Need to Farm])</f>
        <v>0</v>
      </c>
      <c r="F41" s="36">
        <f>IFERROR(INDEX(LocalSpecialtiesInv[Quantity], MATCH(Ascension_Flower[[#This Row],[Specialty]], LocalSpecialtiesInv[Icon], 0)), "")</f>
        <v>15</v>
      </c>
      <c r="G41" s="149">
        <f>Ascension_Flower[[#This Row],[Need to Farm]]-Ascension_Flower[[#This Row],[Acquired]]</f>
        <v>-15</v>
      </c>
    </row>
    <row r="42" spans="1:7" ht="30" customHeight="1" x14ac:dyDescent="0.25">
      <c r="A42" s="144">
        <f>SUBTOTAL(3,$B$3:Ascension_Flower[[#This Row],[Specialty]])</f>
        <v>40</v>
      </c>
      <c r="B42" s="36" t="e" vm="532">
        <f>IFERROR(INDEX(LocalSpecialtiesImg[Icon], MATCH(Ascension_Flower[[#This Row],[HelperName]],LocalSpecialtiesImg[Name], 0)), "")</f>
        <v>#VALUE!</v>
      </c>
      <c r="C42" s="36" t="s">
        <v>446</v>
      </c>
      <c r="D42" s="176" t="s">
        <v>446</v>
      </c>
      <c r="E42" s="144">
        <f>SUMIF(LocalSpecialties3[Local Specialties],Ascension_Flower[[#This Row],[Specialty]],LocalSpecialties3[Need to Farm])</f>
        <v>270</v>
      </c>
      <c r="F42" s="36">
        <f>IFERROR(INDEX(LocalSpecialtiesInv[Quantity], MATCH(Ascension_Flower[[#This Row],[Specialty]], LocalSpecialtiesInv[Icon], 0)), "")</f>
        <v>507</v>
      </c>
      <c r="G42" s="149">
        <f>Ascension_Flower[[#This Row],[Need to Farm]]-Ascension_Flower[[#This Row],[Acquired]]</f>
        <v>-237</v>
      </c>
    </row>
    <row r="43" spans="1:7" ht="30" customHeight="1" x14ac:dyDescent="0.25">
      <c r="A43" s="144">
        <f>SUBTOTAL(3,$B$3:Ascension_Flower[[#This Row],[Specialty]])</f>
        <v>41</v>
      </c>
      <c r="B43" s="36" t="e" vm="283">
        <f>IFERROR(INDEX(LocalSpecialtiesImg[Icon], MATCH(Ascension_Flower[[#This Row],[HelperName]],LocalSpecialtiesImg[Name], 0)), "")</f>
        <v>#VALUE!</v>
      </c>
      <c r="C43" s="36" t="s">
        <v>451</v>
      </c>
      <c r="D43" s="176" t="s">
        <v>451</v>
      </c>
      <c r="E43" s="144">
        <f>SUMIF(LocalSpecialties3[Local Specialties],Ascension_Flower[[#This Row],[Specialty]],LocalSpecialties3[Need to Farm])</f>
        <v>225</v>
      </c>
      <c r="F43" s="36">
        <f>IFERROR(INDEX(LocalSpecialtiesInv[Quantity], MATCH(Ascension_Flower[[#This Row],[Specialty]], LocalSpecialtiesInv[Icon], 0)), "")</f>
        <v>45</v>
      </c>
      <c r="G43" s="149">
        <f>Ascension_Flower[[#This Row],[Need to Farm]]-Ascension_Flower[[#This Row],[Acquired]]</f>
        <v>180</v>
      </c>
    </row>
    <row r="44" spans="1:7" ht="30" customHeight="1" x14ac:dyDescent="0.25">
      <c r="A44" s="144">
        <f>SUBTOTAL(3,$B$3:Ascension_Flower[[#This Row],[Specialty]])</f>
        <v>42</v>
      </c>
      <c r="B44" s="36" t="e" vm="55">
        <f>IFERROR(INDEX(LocalSpecialtiesImg[Icon], MATCH(Ascension_Flower[[#This Row],[HelperName]],LocalSpecialtiesImg[Name], 0)), "")</f>
        <v>#VALUE!</v>
      </c>
      <c r="C44" s="36" t="s">
        <v>456</v>
      </c>
      <c r="D44" s="176" t="s">
        <v>752</v>
      </c>
      <c r="E44" s="144">
        <f>SUMIF(LocalSpecialties3[Local Specialties],Ascension_Flower[[#This Row],[Specialty]],LocalSpecialties3[Need to Farm])</f>
        <v>0</v>
      </c>
      <c r="F44" s="36">
        <f>IFERROR(INDEX(LocalSpecialtiesInv[Quantity], MATCH(Ascension_Flower[[#This Row],[Specialty]], LocalSpecialtiesInv[Icon], 0)), "")</f>
        <v>97</v>
      </c>
      <c r="G44" s="149">
        <f>Ascension_Flower[[#This Row],[Need to Farm]]-Ascension_Flower[[#This Row],[Acquired]]</f>
        <v>-97</v>
      </c>
    </row>
    <row r="45" spans="1:7" ht="30" customHeight="1" thickBot="1" x14ac:dyDescent="0.3">
      <c r="A45" s="144">
        <f>SUBTOTAL(3,$B$3:Ascension_Flower[[#This Row],[Specialty]])</f>
        <v>43</v>
      </c>
      <c r="B45" s="36" t="e" vm="536">
        <f>IFERROR(INDEX(LocalSpecialtiesImg[Icon], MATCH(Ascension_Flower[[#This Row],[HelperName]],LocalSpecialtiesImg[Name], 0)), "")</f>
        <v>#VALUE!</v>
      </c>
      <c r="C45" s="36" t="s">
        <v>461</v>
      </c>
      <c r="D45" s="176" t="s">
        <v>461</v>
      </c>
      <c r="E45" s="150">
        <f>SUMIF(LocalSpecialties3[Local Specialties],Ascension_Flower[[#This Row],[Specialty]],LocalSpecialties3[Need to Farm])</f>
        <v>195</v>
      </c>
      <c r="F45" s="151">
        <f>IFERROR(INDEX(LocalSpecialtiesInv[Quantity], MATCH(Ascension_Flower[[#This Row],[Specialty]], LocalSpecialtiesInv[Icon], 0)), "")</f>
        <v>68</v>
      </c>
      <c r="G45" s="152">
        <f>Ascension_Flower[[#This Row],[Need to Farm]]-Ascension_Flower[[#This Row],[Acquired]]</f>
        <v>127</v>
      </c>
    </row>
    <row r="46" spans="1:7" ht="16.5" thickBot="1" x14ac:dyDescent="0.3">
      <c r="A46" s="153" t="s">
        <v>706</v>
      </c>
      <c r="B46" s="154"/>
      <c r="C46" s="154"/>
      <c r="D46" s="154"/>
      <c r="E46" s="153">
        <f>SUBTOTAL(109,Ascension_Flower[Need to Farm])</f>
        <v>4910</v>
      </c>
      <c r="F46" s="154">
        <f>SUBTOTAL(109,Ascension_Flower[Acquired])</f>
        <v>4186</v>
      </c>
      <c r="G46" s="155">
        <f>SUMIF(Ascension_Flower[Remaining],"&gt;=0")</f>
        <v>2508</v>
      </c>
    </row>
  </sheetData>
  <mergeCells count="1">
    <mergeCell ref="A1:G1"/>
  </mergeCells>
  <phoneticPr fontId="3" type="noConversion"/>
  <dataValidations count="1">
    <dataValidation type="whole" operator="greaterThanOrEqual" allowBlank="1" showInputMessage="1" showErrorMessage="1" errorTitle="Numeric Values Only!" error="Please put numeric values only." sqref="F3:F45" xr:uid="{EBF81312-3930-4672-AA47-C1B54462CE25}">
      <formula1>0</formula1>
    </dataValidation>
  </dataValidations>
  <hyperlinks>
    <hyperlink ref="D9" r:id="rId1" location="/map/2?center=5962.23,1682.92&amp;zoom=-1.00&amp;shown_types=211" xr:uid="{B2DADD27-4238-49CB-9AB1-06B5135FDA40}"/>
    <hyperlink ref="D37" r:id="rId2" location="/map/2?center=190.50,82.00&amp;zoom=-1.00&amp;shown_types=33" xr:uid="{CBAE9875-8B3A-46C0-97FD-1F77FADBB9C4}"/>
    <hyperlink ref="D8" r:id="rId3" location="/map/2?center=1802.30,-1305.93&amp;zoom=-2.00&amp;shown_types=40" xr:uid="{65EFFDB6-D5D5-48EB-A53F-68C5038BB396}"/>
    <hyperlink ref="D43" r:id="rId4" location="/map/2?center=1802.30,-1305.93&amp;zoom=-2.00&amp;shown_types=34" xr:uid="{0D4B15F5-891D-4434-A43A-CEDF71083093}"/>
    <hyperlink ref="D22" r:id="rId5" location="/map/2?center=3176.01,-3713.00&amp;zoom=-1.00&amp;shown_types=400" xr:uid="{ABCD0D6D-697B-4CD5-912D-99FF40F0E2E4}"/>
    <hyperlink ref="D33" r:id="rId6" location="/map/2?center=6056.61,32.66&amp;zoom=0.50&amp;shown_types=227" xr:uid="{9D986944-CCE3-4E01-9EEA-1DDE638C327F}"/>
    <hyperlink ref="D30" r:id="rId7" location="/map/2?center=3046.24,-4006.00&amp;zoom=-2.00&amp;shown_types=402" xr:uid="{A5020A6B-DA5F-4A14-AF77-B4618F42B5FB}"/>
    <hyperlink ref="D14" r:id="rId8" location="/map/2?center=3781.66,-6018.13&amp;zoom=-2.00&amp;shown_types=431" xr:uid="{15768414-2F7A-495C-AEEB-AB68A7E5889A}"/>
    <hyperlink ref="D20" r:id="rId9" location="/map/2?center=1563.70,-6866.07&amp;zoom=-1.00&amp;shown_types=469" xr:uid="{B80C3D06-FD00-419C-A99E-9796A346F398}"/>
    <hyperlink ref="D39" r:id="rId10" location="/map/2?center=2061.98,-290.97&amp;zoom=-1.00&amp;shown_types=78" xr:uid="{6B7262AE-3F18-45D0-8CFC-FBACDBC91388}"/>
    <hyperlink ref="D10" r:id="rId11" location="/map/2?center=181.20,-172.96&amp;zoom=-1.00&amp;shown_types=37" xr:uid="{8382FBE0-9EDD-4BDA-82B3-007D19687740}"/>
    <hyperlink ref="D45" r:id="rId12" location="/map/2?center=254.44,-423.51&amp;zoom=1.00&amp;shown_types=41" xr:uid="{9ABFE417-6429-4F5C-9D46-F7BF12C60335}"/>
    <hyperlink ref="D16" r:id="rId13" location="/map/2?center=2975.68,-4528.15&amp;zoom=-2.00&amp;shown_types=401" xr:uid="{EDD14987-AD08-4DB4-9A80-C60366E2766A}"/>
    <hyperlink ref="D5" r:id="rId14" location="/map/2?center=217.97,-233.00&amp;zoom=-1.00&amp;shown_types=31" xr:uid="{E4DBDFE1-D569-457E-ABC0-C43A3DD0E978}"/>
    <hyperlink ref="D29" r:id="rId15" location="/map/2?center=-1286.77,-5306.16&amp;zoom=-2.00&amp;shown_types=501" xr:uid="{29B57709-6B5C-4020-8358-D7322F21CE20}"/>
    <hyperlink ref="D24" r:id="rId16" location="/map/2?center=6150.26,2478.02&amp;zoom=-2.00&amp;shown_types=196" xr:uid="{48D3C0F8-26CE-4B82-A7A6-D60F5B239F1D}"/>
    <hyperlink ref="D18" r:id="rId17" location="/map/2?center=-694.03,-5230.68&amp;zoom=-1.50&amp;shown_types=502" xr:uid="{986C7726-4D27-4876-AA83-319D6DE49DD8}"/>
    <hyperlink ref="D11" r:id="rId18" location="/map/2?center=5816.98,1761.90&amp;zoom=-0.50&amp;shown_types=198" xr:uid="{458DE732-84CE-4C75-832D-065BC5A02A81}"/>
    <hyperlink ref="D7" r:id="rId19" location="/map/2?center=176.71,-3225.43&amp;zoom=-1.50&amp;shown_types=566" xr:uid="{769ACDA5-8941-43F2-801B-EFE8ED12C426}"/>
    <hyperlink ref="D12" r:id="rId20" location="/map/2?center=8522.93,1825.50&amp;zoom=0.00&amp;shown_types=266" xr:uid="{1992B751-4D09-4736-83BE-83895D39939D}"/>
    <hyperlink ref="D23" r:id="rId21" location="/map/2?center=1765.60,-1854.00&amp;zoom=-2.00&amp;shown_types=42" xr:uid="{5E981DAF-9218-4AE1-B52A-5B324847DB4A}"/>
    <hyperlink ref="D41" r:id="rId22" location="/map/2?center=1631.84,-7113.01&amp;zoom=-1.00&amp;shown_types=468" xr:uid="{3A9E850C-4AAA-4E34-8F15-378C668046D2}"/>
    <hyperlink ref="D4" r:id="rId23" location="/map/2?center=-837.74,-5465.99&amp;zoom=-2.00&amp;shown_types=500" xr:uid="{A4F0F00E-0743-4DF3-BB35-C4A7BD2D16A4}"/>
    <hyperlink ref="D15" r:id="rId24" location="/map/2?center=1417.93,-2029.03&amp;zoom=-1.00&amp;shown_types=30" xr:uid="{8ECEDC10-2279-4D66-8F48-4FC8C666EF7C}"/>
    <hyperlink ref="D26" r:id="rId25" location="/map/2?center=325.99,-98.50&amp;zoom=0.00&amp;shown_types=39" xr:uid="{2E84AE05-68B3-4D64-807A-F425E4B0FC94}"/>
    <hyperlink ref="D3" r:id="rId26" location="/map/2?center=6942.89,3456.49&amp;zoom=0.00&amp;shown_types=228" xr:uid="{07385574-BD8C-4C4B-8938-FB8A770C18B8}"/>
    <hyperlink ref="D6" r:id="rId27" location="/map/2?center=-184.75,970.37&amp;zoom=2.00&amp;shown_types=35" xr:uid="{A922599C-3FDB-4724-8822-4A33B5FE902E}"/>
    <hyperlink ref="D31" r:id="rId28" location="/map/2?center=5009.16,3652.48&amp;zoom=0.00&amp;shown_types=199" xr:uid="{C1F2BAAE-9112-4D46-9C4E-68E7CFD4D02F}"/>
    <hyperlink ref="D19" r:id="rId29" location="/map/2?center=-2351.95,-5220.51&amp;zoom=0.00&amp;shown_types=545" xr:uid="{DEFF1D5E-7A2E-4029-9C56-E0E7E24DEC9D}"/>
    <hyperlink ref="D17" r:id="rId30" location="/map/2?center=-1351.89,-4091.52&amp;zoom=0.00&amp;shown_types=548" xr:uid="{75BF463F-B2B1-4B09-AB73-5377B1506AD0}"/>
    <hyperlink ref="D32" r:id="rId31" location="/map/2?center=3210.97,-6031.50&amp;zoom=0.00&amp;shown_types=462" xr:uid="{469FC01A-5A0A-49DD-8D5F-271D4F34783A}"/>
    <hyperlink ref="D40" r:id="rId32" location="/map/2?center=-2377.01,-5216.50&amp;zoom=0.00&amp;shown_types=546" xr:uid="{B0917D66-6BB3-47B8-8918-8438ACC468CF}"/>
    <hyperlink ref="D21" r:id="rId33" location="/map/2?center=6081.86,2638.01&amp;zoom=-2.00&amp;shown_types=197" xr:uid="{CC87F482-3FA9-4BD3-9847-1477F2301870}"/>
    <hyperlink ref="D28" r:id="rId34" location="/map/2?center=-1353.91,-4902.00&amp;zoom=-2.00&amp;shown_types=503" xr:uid="{A178BB9D-29E0-4D14-BD88-1C86708823EF}"/>
    <hyperlink ref="D38" r:id="rId35" location="/map/2?center=-333.52,-4380.75&amp;zoom=1.00&amp;shown_types=549" xr:uid="{DDBCF1D8-A1AF-43FF-989D-60DBEF43E88D}"/>
    <hyperlink ref="D34" r:id="rId36" location="/map/2?center=4468.01,-5707.00&amp;zoom=-1.00&amp;shown_types=430" xr:uid="{BED53B90-E262-4953-A913-93F582DCE90D}"/>
    <hyperlink ref="D13" r:id="rId37" location="/map/2?center=1422.17,-2042.00&amp;zoom=-2.00&amp;shown_types=38" xr:uid="{530CEE86-1FB8-4931-8BC3-5AB47E8EAE5A}"/>
    <hyperlink ref="D25" r:id="rId38" location="/map/2?center=2834.12,-4086.99&amp;zoom=-1.00&amp;shown_types=413" xr:uid="{B2F9406E-0160-4319-BB77-D808E41B39F5}"/>
    <hyperlink ref="D44" r:id="rId39" location="/map/2?center=151.00,-228.77&amp;zoom=-1.00&amp;shown_types=43,28" xr:uid="{7F02922F-0CC9-49D7-8881-4833341F3052}"/>
    <hyperlink ref="D27" r:id="rId40" location="/map/2?center=1358.00,-2145.97&amp;zoom=-2.00&amp;shown_types=32" xr:uid="{8FCB006A-0981-4916-8BDE-BC58E89151A6}"/>
    <hyperlink ref="D42" r:id="rId41" location="/map/2?center=-536.91,541.50&amp;zoom=0.00&amp;shown_types=29" xr:uid="{B671FEF7-0915-422A-868C-D0EE00B434DA}"/>
    <hyperlink ref="D35" r:id="rId42" location="/map/2?center=6033.81,1008.00&amp;zoom=-3.00&amp;shown_types=185" xr:uid="{B9BA11E3-9D49-454B-ACC5-126C73D49231}"/>
    <hyperlink ref="D36" r:id="rId43" location="/map/2?center=1537.42,-1388.12&amp;zoom=-2.00&amp;shown_types=36" xr:uid="{D0B2E912-CF9D-4BCA-BA2B-DE0D737DA267}"/>
  </hyperlinks>
  <pageMargins left="0.7" right="0.7" top="0.75" bottom="0.75" header="0.3" footer="0.3"/>
  <tableParts count="1">
    <tablePart r:id="rId4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2B92E-0CFB-4946-BAB5-075B2D3AD151}">
  <sheetPr codeName="Sheet12">
    <tabColor rgb="FFFFC000"/>
  </sheetPr>
  <dimension ref="A1:Z22"/>
  <sheetViews>
    <sheetView workbookViewId="0">
      <selection activeCell="Z12" sqref="Z12"/>
    </sheetView>
  </sheetViews>
  <sheetFormatPr defaultColWidth="9.140625" defaultRowHeight="15.75" x14ac:dyDescent="0.25"/>
  <cols>
    <col min="1" max="1" width="9.140625" style="36" customWidth="1"/>
    <col min="2" max="2" width="25.28515625" style="36" hidden="1" customWidth="1"/>
    <col min="3" max="26" width="7.140625" style="36" customWidth="1"/>
    <col min="27" max="16384" width="9.140625" style="36"/>
  </cols>
  <sheetData>
    <row r="1" spans="1:26" ht="36" thickBot="1" x14ac:dyDescent="0.3">
      <c r="A1" s="213" t="s">
        <v>666</v>
      </c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5"/>
    </row>
    <row r="2" spans="1:26" x14ac:dyDescent="0.25">
      <c r="A2" s="181" t="s">
        <v>670</v>
      </c>
      <c r="B2" s="159"/>
      <c r="C2" s="216" t="s">
        <v>679</v>
      </c>
      <c r="D2" s="193"/>
      <c r="E2" s="193"/>
      <c r="F2" s="193"/>
      <c r="G2" s="193"/>
      <c r="H2" s="193"/>
      <c r="I2" s="193"/>
      <c r="J2" s="217"/>
      <c r="K2" s="216" t="s">
        <v>720</v>
      </c>
      <c r="L2" s="193"/>
      <c r="M2" s="193"/>
      <c r="N2" s="193"/>
      <c r="O2" s="193"/>
      <c r="P2" s="193"/>
      <c r="Q2" s="193"/>
      <c r="R2" s="217"/>
      <c r="S2" s="216" t="s">
        <v>721</v>
      </c>
      <c r="T2" s="193"/>
      <c r="U2" s="193"/>
      <c r="V2" s="193"/>
      <c r="W2" s="193"/>
      <c r="X2" s="193"/>
      <c r="Y2" s="193"/>
      <c r="Z2" s="217"/>
    </row>
    <row r="3" spans="1:26" s="43" customFormat="1" ht="15" customHeight="1" thickBot="1" x14ac:dyDescent="0.3">
      <c r="A3" s="182" t="s">
        <v>670</v>
      </c>
      <c r="B3" s="177" t="s">
        <v>719</v>
      </c>
      <c r="C3" s="178" t="s">
        <v>56</v>
      </c>
      <c r="D3" s="179" t="s">
        <v>845</v>
      </c>
      <c r="E3" s="179" t="s">
        <v>55</v>
      </c>
      <c r="F3" s="179" t="s">
        <v>846</v>
      </c>
      <c r="G3" s="179" t="s">
        <v>54</v>
      </c>
      <c r="H3" s="179" t="s">
        <v>847</v>
      </c>
      <c r="I3" s="179" t="s">
        <v>53</v>
      </c>
      <c r="J3" s="180" t="s">
        <v>848</v>
      </c>
      <c r="K3" s="178" t="s">
        <v>779</v>
      </c>
      <c r="L3" s="179" t="s">
        <v>849</v>
      </c>
      <c r="M3" s="179" t="s">
        <v>780</v>
      </c>
      <c r="N3" s="179" t="s">
        <v>850</v>
      </c>
      <c r="O3" s="179" t="s">
        <v>781</v>
      </c>
      <c r="P3" s="179" t="s">
        <v>851</v>
      </c>
      <c r="Q3" s="179" t="s">
        <v>782</v>
      </c>
      <c r="R3" s="180" t="s">
        <v>852</v>
      </c>
      <c r="S3" s="178" t="s">
        <v>783</v>
      </c>
      <c r="T3" s="179" t="s">
        <v>853</v>
      </c>
      <c r="U3" s="179" t="s">
        <v>784</v>
      </c>
      <c r="V3" s="179" t="s">
        <v>854</v>
      </c>
      <c r="W3" s="179" t="s">
        <v>785</v>
      </c>
      <c r="X3" s="179" t="s">
        <v>855</v>
      </c>
      <c r="Y3" s="179" t="s">
        <v>786</v>
      </c>
      <c r="Z3" s="180" t="s">
        <v>856</v>
      </c>
    </row>
    <row r="4" spans="1:26" ht="30" customHeight="1" x14ac:dyDescent="0.25">
      <c r="A4" s="144">
        <f>SUBTOTAL(3,$B$4:Ascension_Stones4447[[#This Row],[Stone Name]])</f>
        <v>1</v>
      </c>
      <c r="B4" s="149" t="s">
        <v>771</v>
      </c>
      <c r="C4" s="144" t="e" vm="293">
        <f>IFERROR(INDEX(GemsImg[Icon], MATCH(_xlfn.CONCAT(Ascension_Stones4447[[#This Row],[Stone Name]],"Gemstone"), GemsImg[Name], 0)), "")</f>
        <v>#VALUE!</v>
      </c>
      <c r="D4" s="36">
        <f>SUMIF(Gemstone[Stone Type],Ascension_Stones4447[[#This Row],[Gemstone]],Gemstone[Gemstone])</f>
        <v>0</v>
      </c>
      <c r="E4" s="36" t="e" vm="726">
        <f>IFERROR(INDEX(GemsImg[Icon], MATCH(_xlfn.CONCAT(Ascension_Stones4447[[#This Row],[Stone Name]],"Chunk"), GemsImg[Name], 0)), "")</f>
        <v>#VALUE!</v>
      </c>
      <c r="F4" s="36">
        <f>SUMIF(Gemstone[Stone Type],Ascension_Stones4447[[#This Row],[Gemstone]],Gemstone[Chunk])</f>
        <v>0</v>
      </c>
      <c r="G4" s="36" t="e" vm="732">
        <f>IFERROR(INDEX(GemsImg[Icon], MATCH(_xlfn.CONCAT(Ascension_Stones4447[[#This Row],[Stone Name]],"Fragment"), GemsImg[Name], 0)), "")</f>
        <v>#VALUE!</v>
      </c>
      <c r="H4" s="36">
        <f>SUMIF(Gemstone[Stone Type],Ascension_Stones4447[[#This Row],[Gemstone]],Gemstone[Fragment])</f>
        <v>0</v>
      </c>
      <c r="I4" s="36" t="e" vm="737">
        <f>IFERROR(INDEX(GemsImg[Icon], MATCH(_xlfn.CONCAT(Ascension_Stones4447[[#This Row],[Stone Name]],"Silver"), GemsImg[Name], 0)), "")</f>
        <v>#VALUE!</v>
      </c>
      <c r="J4" s="149">
        <f>SUMIF(Gemstone[Stone Type],Ascension_Stones4447[[#This Row],[Gemstone]],Gemstone[Silver])</f>
        <v>0</v>
      </c>
      <c r="K4" s="144" t="e" vm="293">
        <f>IFERROR(INDEX(GemsImg[Icon], MATCH(_xlfn.CONCAT(Ascension_Stones4447[[#This Row],[Stone Name]],"Gemstone"), GemsImg[Name], 0)), "")</f>
        <v>#VALUE!</v>
      </c>
      <c r="L4" s="36">
        <f>IFERROR(INDEX(GemsInv[Quantity], MATCH(Ascension_Stones4447[[#This Row],[Gemstone2]], GemsInv[Icon], 0)), "")</f>
        <v>0</v>
      </c>
      <c r="M4" s="36" t="e" vm="726">
        <f>IFERROR(INDEX(GemsImg[Icon], MATCH(_xlfn.CONCAT(Ascension_Stones4447[[#This Row],[Stone Name]],"Chunk"), GemsImg[Name], 0)), "")</f>
        <v>#VALUE!</v>
      </c>
      <c r="N4" s="36">
        <f>IFERROR(INDEX(GemsInv[Quantity], MATCH(Ascension_Stones4447[[#This Row],[Chunk6]], GemsInv[Icon], 0)), "")</f>
        <v>0</v>
      </c>
      <c r="O4" s="36" t="e" vm="732">
        <f>IFERROR(INDEX(GemsImg[Icon], MATCH(_xlfn.CONCAT(Ascension_Stones4447[[#This Row],[Stone Name]],"Fragment"), GemsImg[Name], 0)), "")</f>
        <v>#VALUE!</v>
      </c>
      <c r="P4" s="36">
        <f>IFERROR(INDEX(GemsInv[Quantity], MATCH(Ascension_Stones4447[[#This Row],[Fragment11]], GemsInv[Icon], 0)), "")</f>
        <v>0</v>
      </c>
      <c r="Q4" s="36" t="e" vm="737">
        <f>IFERROR(INDEX(GemsImg[Icon], MATCH(_xlfn.CONCAT(Ascension_Stones4447[[#This Row],[Stone Name]],"Silver"), GemsImg[Name], 0)), "")</f>
        <v>#VALUE!</v>
      </c>
      <c r="R4" s="149">
        <f>IFERROR(INDEX(GemsInv[Quantity], MATCH(Ascension_Stones4447[[#This Row],[Silver13]], GemsInv[Icon], 0)), "")</f>
        <v>0</v>
      </c>
      <c r="S4" s="144" t="e" vm="293">
        <f>IFERROR(INDEX(GemsImg[Icon], MATCH(_xlfn.CONCAT(Ascension_Stones4447[[#This Row],[Stone Name]],"Gemstone"), GemsImg[Name], 0)), "")</f>
        <v>#VALUE!</v>
      </c>
      <c r="T4" s="36">
        <f>Ascension_Stones4447[[#This Row],[Need to Farm1.1]]-Ascension_Stones4447[[#This Row],[Need to Farm2.1]]</f>
        <v>0</v>
      </c>
      <c r="U4" s="36" t="e" vm="726">
        <f>IFERROR(INDEX(GemsImg[Icon], MATCH(_xlfn.CONCAT(Ascension_Stones4447[[#This Row],[Stone Name]],"Chunk"), GemsImg[Name], 0)), "")</f>
        <v>#VALUE!</v>
      </c>
      <c r="V4" s="36">
        <f>Ascension_Stones4447[[#This Row],[Need to Farm1.2]]-Ascension_Stones4447[[#This Row],[Need to Farm2.2]]</f>
        <v>0</v>
      </c>
      <c r="W4" s="36" t="e" vm="732">
        <f>IFERROR(INDEX(GemsImg[Icon], MATCH(_xlfn.CONCAT(Ascension_Stones4447[[#This Row],[Stone Name]],"Fragment"), GemsImg[Name], 0)), "")</f>
        <v>#VALUE!</v>
      </c>
      <c r="X4" s="36">
        <f>Ascension_Stones4447[[#This Row],[Need to Farm1.3]]-Ascension_Stones4447[[#This Row],[Need to Farm2.3]]</f>
        <v>0</v>
      </c>
      <c r="Y4" s="36" t="e" vm="737">
        <f>IFERROR(INDEX(GemsImg[Icon], MATCH(_xlfn.CONCAT(Ascension_Stones4447[[#This Row],[Stone Name]],"Silver"), GemsImg[Name], 0)), "")</f>
        <v>#VALUE!</v>
      </c>
      <c r="Z4" s="149">
        <f>Ascension_Stones4447[[#This Row],[Need to Farm1.4]]-Ascension_Stones4447[[#This Row],[Need to Farm2.4]]</f>
        <v>0</v>
      </c>
    </row>
    <row r="5" spans="1:26" ht="30" customHeight="1" x14ac:dyDescent="0.25">
      <c r="A5" s="144">
        <f>SUBTOTAL(3,$B$4:Ascension_Stones4447[[#This Row],[Stone Name]])</f>
        <v>2</v>
      </c>
      <c r="B5" s="149" t="s">
        <v>772</v>
      </c>
      <c r="C5" s="144" t="e" vm="56">
        <f>IFERROR(INDEX(GemsImg[Icon], MATCH(_xlfn.CONCAT(Ascension_Stones4447[[#This Row],[Stone Name]],"Gemstone"), GemsImg[Name], 0)), "")</f>
        <v>#VALUE!</v>
      </c>
      <c r="D5" s="36">
        <f>SUMIF(Gemstone[Stone Type],Ascension_Stones4447[[#This Row],[Gemstone]],Gemstone[Gemstone])</f>
        <v>36</v>
      </c>
      <c r="E5" s="36" t="e" vm="744">
        <f>IFERROR(INDEX(GemsImg[Icon], MATCH(_xlfn.CONCAT(Ascension_Stones4447[[#This Row],[Stone Name]],"Chunk"), GemsImg[Name], 0)), "")</f>
        <v>#VALUE!</v>
      </c>
      <c r="F5" s="36">
        <f>SUMIF(Gemstone[Stone Type],Ascension_Stones4447[[#This Row],[Gemstone]],Gemstone[Chunk])</f>
        <v>45</v>
      </c>
      <c r="G5" s="36" t="e" vm="747">
        <f>IFERROR(INDEX(GemsImg[Icon], MATCH(_xlfn.CONCAT(Ascension_Stones4447[[#This Row],[Stone Name]],"Fragment"), GemsImg[Name], 0)), "")</f>
        <v>#VALUE!</v>
      </c>
      <c r="H5" s="36">
        <f>SUMIF(Gemstone[Stone Type],Ascension_Stones4447[[#This Row],[Gemstone]],Gemstone[Fragment])</f>
        <v>36</v>
      </c>
      <c r="I5" s="36" t="e" vm="751">
        <f>IFERROR(INDEX(GemsImg[Icon], MATCH(_xlfn.CONCAT(Ascension_Stones4447[[#This Row],[Stone Name]],"Silver"), GemsImg[Name], 0)), "")</f>
        <v>#VALUE!</v>
      </c>
      <c r="J5" s="149">
        <f>SUMIF(Gemstone[Stone Type],Ascension_Stones4447[[#This Row],[Gemstone]],Gemstone[Silver])</f>
        <v>0</v>
      </c>
      <c r="K5" s="144" t="e" vm="56">
        <f>IFERROR(INDEX(GemsImg[Icon], MATCH(_xlfn.CONCAT(Ascension_Stones4447[[#This Row],[Stone Name]],"Gemstone"), GemsImg[Name], 0)), "")</f>
        <v>#VALUE!</v>
      </c>
      <c r="L5" s="36">
        <f>IFERROR(INDEX(GemsInv[Quantity], MATCH(Ascension_Stones4447[[#This Row],[Gemstone2]], GemsInv[Icon], 0)), "")</f>
        <v>18</v>
      </c>
      <c r="M5" s="36" t="e" vm="744">
        <f>IFERROR(INDEX(GemsImg[Icon], MATCH(_xlfn.CONCAT(Ascension_Stones4447[[#This Row],[Stone Name]],"Chunk"), GemsImg[Name], 0)), "")</f>
        <v>#VALUE!</v>
      </c>
      <c r="N5" s="36">
        <f>IFERROR(INDEX(GemsInv[Quantity], MATCH(Ascension_Stones4447[[#This Row],[Chunk6]], GemsInv[Icon], 0)), "")</f>
        <v>41</v>
      </c>
      <c r="O5" s="36" t="e" vm="747">
        <f>IFERROR(INDEX(GemsImg[Icon], MATCH(_xlfn.CONCAT(Ascension_Stones4447[[#This Row],[Stone Name]],"Fragment"), GemsImg[Name], 0)), "")</f>
        <v>#VALUE!</v>
      </c>
      <c r="P5" s="36">
        <f>IFERROR(INDEX(GemsInv[Quantity], MATCH(Ascension_Stones4447[[#This Row],[Fragment11]], GemsInv[Icon], 0)), "")</f>
        <v>141</v>
      </c>
      <c r="Q5" s="36" t="e" vm="751">
        <f>IFERROR(INDEX(GemsImg[Icon], MATCH(_xlfn.CONCAT(Ascension_Stones4447[[#This Row],[Stone Name]],"Silver"), GemsImg[Name], 0)), "")</f>
        <v>#VALUE!</v>
      </c>
      <c r="R5" s="149">
        <f>IFERROR(INDEX(GemsInv[Quantity], MATCH(Ascension_Stones4447[[#This Row],[Silver13]], GemsInv[Icon], 0)), "")</f>
        <v>191</v>
      </c>
      <c r="S5" s="144" t="e" vm="56">
        <f>IFERROR(INDEX(GemsImg[Icon], MATCH(_xlfn.CONCAT(Ascension_Stones4447[[#This Row],[Stone Name]],"Gemstone"), GemsImg[Name], 0)), "")</f>
        <v>#VALUE!</v>
      </c>
      <c r="T5" s="36">
        <f>Ascension_Stones4447[[#This Row],[Need to Farm1.1]]-Ascension_Stones4447[[#This Row],[Need to Farm2.1]]</f>
        <v>18</v>
      </c>
      <c r="U5" s="36" t="e" vm="744">
        <f>IFERROR(INDEX(GemsImg[Icon], MATCH(_xlfn.CONCAT(Ascension_Stones4447[[#This Row],[Stone Name]],"Chunk"), GemsImg[Name], 0)), "")</f>
        <v>#VALUE!</v>
      </c>
      <c r="V5" s="36">
        <f>Ascension_Stones4447[[#This Row],[Need to Farm1.2]]-Ascension_Stones4447[[#This Row],[Need to Farm2.2]]</f>
        <v>4</v>
      </c>
      <c r="W5" s="36" t="e" vm="747">
        <f>IFERROR(INDEX(GemsImg[Icon], MATCH(_xlfn.CONCAT(Ascension_Stones4447[[#This Row],[Stone Name]],"Fragment"), GemsImg[Name], 0)), "")</f>
        <v>#VALUE!</v>
      </c>
      <c r="X5" s="36">
        <f>Ascension_Stones4447[[#This Row],[Need to Farm1.3]]-Ascension_Stones4447[[#This Row],[Need to Farm2.3]]</f>
        <v>-105</v>
      </c>
      <c r="Y5" s="36" t="e" vm="751">
        <f>IFERROR(INDEX(GemsImg[Icon], MATCH(_xlfn.CONCAT(Ascension_Stones4447[[#This Row],[Stone Name]],"Silver"), GemsImg[Name], 0)), "")</f>
        <v>#VALUE!</v>
      </c>
      <c r="Z5" s="149">
        <f>Ascension_Stones4447[[#This Row],[Need to Farm1.4]]-Ascension_Stones4447[[#This Row],[Need to Farm2.4]]</f>
        <v>-191</v>
      </c>
    </row>
    <row r="6" spans="1:26" ht="30" customHeight="1" x14ac:dyDescent="0.25">
      <c r="A6" s="144">
        <f>SUBTOTAL(3,$B$4:Ascension_Stones4447[[#This Row],[Stone Name]])</f>
        <v>3</v>
      </c>
      <c r="B6" s="149" t="s">
        <v>773</v>
      </c>
      <c r="C6" s="144" t="e" vm="117">
        <f>IFERROR(INDEX(GemsImg[Icon], MATCH(_xlfn.CONCAT(Ascension_Stones4447[[#This Row],[Stone Name]],"Gemstone"), GemsImg[Name], 0)), "")</f>
        <v>#VALUE!</v>
      </c>
      <c r="D6" s="36">
        <f>SUMIF(Gemstone[Stone Type],Ascension_Stones4447[[#This Row],[Gemstone]],Gemstone[Gemstone])</f>
        <v>6</v>
      </c>
      <c r="E6" s="36" t="e" vm="757">
        <f>IFERROR(INDEX(GemsImg[Icon], MATCH(_xlfn.CONCAT(Ascension_Stones4447[[#This Row],[Stone Name]],"Chunk"), GemsImg[Name], 0)), "")</f>
        <v>#VALUE!</v>
      </c>
      <c r="F6" s="36">
        <f>SUMIF(Gemstone[Stone Type],Ascension_Stones4447[[#This Row],[Gemstone]],Gemstone[Chunk])</f>
        <v>9</v>
      </c>
      <c r="G6" s="36" t="e" vm="761">
        <f>IFERROR(INDEX(GemsImg[Icon], MATCH(_xlfn.CONCAT(Ascension_Stones4447[[#This Row],[Stone Name]],"Fragment"), GemsImg[Name], 0)), "")</f>
        <v>#VALUE!</v>
      </c>
      <c r="H6" s="36">
        <f>SUMIF(Gemstone[Stone Type],Ascension_Stones4447[[#This Row],[Gemstone]],Gemstone[Fragment])</f>
        <v>9</v>
      </c>
      <c r="I6" s="36" t="e" vm="765">
        <f>IFERROR(INDEX(GemsImg[Icon], MATCH(_xlfn.CONCAT(Ascension_Stones4447[[#This Row],[Stone Name]],"Silver"), GemsImg[Name], 0)), "")</f>
        <v>#VALUE!</v>
      </c>
      <c r="J6" s="149">
        <f>SUMIF(Gemstone[Stone Type],Ascension_Stones4447[[#This Row],[Gemstone]],Gemstone[Silver])</f>
        <v>0</v>
      </c>
      <c r="K6" s="144" t="e" vm="117">
        <f>IFERROR(INDEX(GemsImg[Icon], MATCH(_xlfn.CONCAT(Ascension_Stones4447[[#This Row],[Stone Name]],"Gemstone"), GemsImg[Name], 0)), "")</f>
        <v>#VALUE!</v>
      </c>
      <c r="L6" s="36">
        <f>IFERROR(INDEX(GemsInv[Quantity], MATCH(Ascension_Stones4447[[#This Row],[Gemstone2]], GemsInv[Icon], 0)), "")</f>
        <v>6</v>
      </c>
      <c r="M6" s="36" t="e" vm="757">
        <f>IFERROR(INDEX(GemsImg[Icon], MATCH(_xlfn.CONCAT(Ascension_Stones4447[[#This Row],[Stone Name]],"Chunk"), GemsImg[Name], 0)), "")</f>
        <v>#VALUE!</v>
      </c>
      <c r="N6" s="36">
        <f>IFERROR(INDEX(GemsInv[Quantity], MATCH(Ascension_Stones4447[[#This Row],[Chunk6]], GemsInv[Icon], 0)), "")</f>
        <v>12</v>
      </c>
      <c r="O6" s="36" t="e" vm="761">
        <f>IFERROR(INDEX(GemsImg[Icon], MATCH(_xlfn.CONCAT(Ascension_Stones4447[[#This Row],[Stone Name]],"Fragment"), GemsImg[Name], 0)), "")</f>
        <v>#VALUE!</v>
      </c>
      <c r="P6" s="36">
        <f>IFERROR(INDEX(GemsInv[Quantity], MATCH(Ascension_Stones4447[[#This Row],[Fragment11]], GemsInv[Icon], 0)), "")</f>
        <v>88</v>
      </c>
      <c r="Q6" s="36" t="e" vm="765">
        <f>IFERROR(INDEX(GemsImg[Icon], MATCH(_xlfn.CONCAT(Ascension_Stones4447[[#This Row],[Stone Name]],"Silver"), GemsImg[Name], 0)), "")</f>
        <v>#VALUE!</v>
      </c>
      <c r="R6" s="149">
        <f>IFERROR(INDEX(GemsInv[Quantity], MATCH(Ascension_Stones4447[[#This Row],[Silver13]], GemsInv[Icon], 0)), "")</f>
        <v>113</v>
      </c>
      <c r="S6" s="144" t="e" vm="117">
        <f>IFERROR(INDEX(GemsImg[Icon], MATCH(_xlfn.CONCAT(Ascension_Stones4447[[#This Row],[Stone Name]],"Gemstone"), GemsImg[Name], 0)), "")</f>
        <v>#VALUE!</v>
      </c>
      <c r="T6" s="36">
        <f>Ascension_Stones4447[[#This Row],[Need to Farm1.1]]-Ascension_Stones4447[[#This Row],[Need to Farm2.1]]</f>
        <v>0</v>
      </c>
      <c r="U6" s="36" t="e" vm="757">
        <f>IFERROR(INDEX(GemsImg[Icon], MATCH(_xlfn.CONCAT(Ascension_Stones4447[[#This Row],[Stone Name]],"Chunk"), GemsImg[Name], 0)), "")</f>
        <v>#VALUE!</v>
      </c>
      <c r="V6" s="36">
        <f>Ascension_Stones4447[[#This Row],[Need to Farm1.2]]-Ascension_Stones4447[[#This Row],[Need to Farm2.2]]</f>
        <v>-3</v>
      </c>
      <c r="W6" s="36" t="e" vm="761">
        <f>IFERROR(INDEX(GemsImg[Icon], MATCH(_xlfn.CONCAT(Ascension_Stones4447[[#This Row],[Stone Name]],"Fragment"), GemsImg[Name], 0)), "")</f>
        <v>#VALUE!</v>
      </c>
      <c r="X6" s="36">
        <f>Ascension_Stones4447[[#This Row],[Need to Farm1.3]]-Ascension_Stones4447[[#This Row],[Need to Farm2.3]]</f>
        <v>-79</v>
      </c>
      <c r="Y6" s="36" t="e" vm="765">
        <f>IFERROR(INDEX(GemsImg[Icon], MATCH(_xlfn.CONCAT(Ascension_Stones4447[[#This Row],[Stone Name]],"Silver"), GemsImg[Name], 0)), "")</f>
        <v>#VALUE!</v>
      </c>
      <c r="Z6" s="149">
        <f>Ascension_Stones4447[[#This Row],[Need to Farm1.4]]-Ascension_Stones4447[[#This Row],[Need to Farm2.4]]</f>
        <v>-113</v>
      </c>
    </row>
    <row r="7" spans="1:26" ht="30" customHeight="1" x14ac:dyDescent="0.25">
      <c r="A7" s="144">
        <f>SUBTOTAL(3,$B$4:Ascension_Stones4447[[#This Row],[Stone Name]])</f>
        <v>4</v>
      </c>
      <c r="B7" s="149" t="s">
        <v>774</v>
      </c>
      <c r="C7" s="144" t="e" vm="34">
        <f>IFERROR(INDEX(GemsImg[Icon], MATCH(_xlfn.CONCAT(Ascension_Stones4447[[#This Row],[Stone Name]],"Gemstone"), GemsImg[Name], 0)), "")</f>
        <v>#VALUE!</v>
      </c>
      <c r="D7" s="36">
        <f>SUMIF(Gemstone[Stone Type],Ascension_Stones4447[[#This Row],[Gemstone]],Gemstone[Gemstone])</f>
        <v>36</v>
      </c>
      <c r="E7" s="36" t="e" vm="769">
        <f>IFERROR(INDEX(GemsImg[Icon], MATCH(_xlfn.CONCAT(Ascension_Stones4447[[#This Row],[Stone Name]],"Chunk"), GemsImg[Name], 0)), "")</f>
        <v>#VALUE!</v>
      </c>
      <c r="F7" s="36">
        <f>SUMIF(Gemstone[Stone Type],Ascension_Stones4447[[#This Row],[Gemstone]],Gemstone[Chunk])</f>
        <v>54</v>
      </c>
      <c r="G7" s="36" t="e" vm="771">
        <f>IFERROR(INDEX(GemsImg[Icon], MATCH(_xlfn.CONCAT(Ascension_Stones4447[[#This Row],[Stone Name]],"Fragment"), GemsImg[Name], 0)), "")</f>
        <v>#VALUE!</v>
      </c>
      <c r="H7" s="36">
        <f>SUMIF(Gemstone[Stone Type],Ascension_Stones4447[[#This Row],[Gemstone]],Gemstone[Fragment])</f>
        <v>54</v>
      </c>
      <c r="I7" s="36" t="e" vm="772">
        <f>IFERROR(INDEX(GemsImg[Icon], MATCH(_xlfn.CONCAT(Ascension_Stones4447[[#This Row],[Stone Name]],"Silver"), GemsImg[Name], 0)), "")</f>
        <v>#VALUE!</v>
      </c>
      <c r="J7" s="149">
        <f>SUMIF(Gemstone[Stone Type],Ascension_Stones4447[[#This Row],[Gemstone]],Gemstone[Silver])</f>
        <v>0</v>
      </c>
      <c r="K7" s="144" t="e" vm="34">
        <f>IFERROR(INDEX(GemsImg[Icon], MATCH(_xlfn.CONCAT(Ascension_Stones4447[[#This Row],[Stone Name]],"Gemstone"), GemsImg[Name], 0)), "")</f>
        <v>#VALUE!</v>
      </c>
      <c r="L7" s="36">
        <f>IFERROR(INDEX(GemsInv[Quantity], MATCH(Ascension_Stones4447[[#This Row],[Gemstone2]], GemsInv[Icon], 0)), "")</f>
        <v>3</v>
      </c>
      <c r="M7" s="36" t="e" vm="769">
        <f>IFERROR(INDEX(GemsImg[Icon], MATCH(_xlfn.CONCAT(Ascension_Stones4447[[#This Row],[Stone Name]],"Chunk"), GemsImg[Name], 0)), "")</f>
        <v>#VALUE!</v>
      </c>
      <c r="N7" s="36">
        <f>IFERROR(INDEX(GemsInv[Quantity], MATCH(Ascension_Stones4447[[#This Row],[Chunk6]], GemsInv[Icon], 0)), "")</f>
        <v>43</v>
      </c>
      <c r="O7" s="36" t="e" vm="771">
        <f>IFERROR(INDEX(GemsImg[Icon], MATCH(_xlfn.CONCAT(Ascension_Stones4447[[#This Row],[Stone Name]],"Fragment"), GemsImg[Name], 0)), "")</f>
        <v>#VALUE!</v>
      </c>
      <c r="P7" s="36">
        <f>IFERROR(INDEX(GemsInv[Quantity], MATCH(Ascension_Stones4447[[#This Row],[Fragment11]], GemsInv[Icon], 0)), "")</f>
        <v>138</v>
      </c>
      <c r="Q7" s="36" t="e" vm="772">
        <f>IFERROR(INDEX(GemsImg[Icon], MATCH(_xlfn.CONCAT(Ascension_Stones4447[[#This Row],[Stone Name]],"Silver"), GemsImg[Name], 0)), "")</f>
        <v>#VALUE!</v>
      </c>
      <c r="R7" s="149">
        <f>IFERROR(INDEX(GemsInv[Quantity], MATCH(Ascension_Stones4447[[#This Row],[Silver13]], GemsInv[Icon], 0)), "")</f>
        <v>112</v>
      </c>
      <c r="S7" s="144" t="e" vm="34">
        <f>IFERROR(INDEX(GemsImg[Icon], MATCH(_xlfn.CONCAT(Ascension_Stones4447[[#This Row],[Stone Name]],"Gemstone"), GemsImg[Name], 0)), "")</f>
        <v>#VALUE!</v>
      </c>
      <c r="T7" s="36">
        <f>Ascension_Stones4447[[#This Row],[Need to Farm1.1]]-Ascension_Stones4447[[#This Row],[Need to Farm2.1]]</f>
        <v>33</v>
      </c>
      <c r="U7" s="36" t="e" vm="769">
        <f>IFERROR(INDEX(GemsImg[Icon], MATCH(_xlfn.CONCAT(Ascension_Stones4447[[#This Row],[Stone Name]],"Chunk"), GemsImg[Name], 0)), "")</f>
        <v>#VALUE!</v>
      </c>
      <c r="V7" s="36">
        <f>Ascension_Stones4447[[#This Row],[Need to Farm1.2]]-Ascension_Stones4447[[#This Row],[Need to Farm2.2]]</f>
        <v>11</v>
      </c>
      <c r="W7" s="36" t="e" vm="771">
        <f>IFERROR(INDEX(GemsImg[Icon], MATCH(_xlfn.CONCAT(Ascension_Stones4447[[#This Row],[Stone Name]],"Fragment"), GemsImg[Name], 0)), "")</f>
        <v>#VALUE!</v>
      </c>
      <c r="X7" s="36">
        <f>Ascension_Stones4447[[#This Row],[Need to Farm1.3]]-Ascension_Stones4447[[#This Row],[Need to Farm2.3]]</f>
        <v>-84</v>
      </c>
      <c r="Y7" s="36" t="e" vm="772">
        <f>IFERROR(INDEX(GemsImg[Icon], MATCH(_xlfn.CONCAT(Ascension_Stones4447[[#This Row],[Stone Name]],"Silver"), GemsImg[Name], 0)), "")</f>
        <v>#VALUE!</v>
      </c>
      <c r="Z7" s="149">
        <f>Ascension_Stones4447[[#This Row],[Need to Farm1.4]]-Ascension_Stones4447[[#This Row],[Need to Farm2.4]]</f>
        <v>-112</v>
      </c>
    </row>
    <row r="8" spans="1:26" ht="30" customHeight="1" x14ac:dyDescent="0.25">
      <c r="A8" s="144">
        <f>SUBTOTAL(3,$B$4:Ascension_Stones4447[[#This Row],[Stone Name]])</f>
        <v>5</v>
      </c>
      <c r="B8" s="149" t="s">
        <v>775</v>
      </c>
      <c r="C8" s="144" t="e" vm="97">
        <f>IFERROR(INDEX(GemsImg[Icon], MATCH(_xlfn.CONCAT(Ascension_Stones4447[[#This Row],[Stone Name]],"Gemstone"), GemsImg[Name], 0)), "")</f>
        <v>#VALUE!</v>
      </c>
      <c r="D8" s="36">
        <f>SUMIF(Gemstone[Stone Type],Ascension_Stones4447[[#This Row],[Gemstone]],Gemstone[Gemstone])</f>
        <v>36</v>
      </c>
      <c r="E8" s="36" t="e" vm="775">
        <f>IFERROR(INDEX(GemsImg[Icon], MATCH(_xlfn.CONCAT(Ascension_Stones4447[[#This Row],[Stone Name]],"Chunk"), GemsImg[Name], 0)), "")</f>
        <v>#VALUE!</v>
      </c>
      <c r="F8" s="36">
        <f>SUMIF(Gemstone[Stone Type],Ascension_Stones4447[[#This Row],[Gemstone]],Gemstone[Chunk])</f>
        <v>39</v>
      </c>
      <c r="G8" s="36" t="e" vm="776">
        <f>IFERROR(INDEX(GemsImg[Icon], MATCH(_xlfn.CONCAT(Ascension_Stones4447[[#This Row],[Stone Name]],"Fragment"), GemsImg[Name], 0)), "")</f>
        <v>#VALUE!</v>
      </c>
      <c r="H8" s="36">
        <f>SUMIF(Gemstone[Stone Type],Ascension_Stones4447[[#This Row],[Gemstone]],Gemstone[Fragment])</f>
        <v>9</v>
      </c>
      <c r="I8" s="36" t="e" vm="778">
        <f>IFERROR(INDEX(GemsImg[Icon], MATCH(_xlfn.CONCAT(Ascension_Stones4447[[#This Row],[Stone Name]],"Silver"), GemsImg[Name], 0)), "")</f>
        <v>#VALUE!</v>
      </c>
      <c r="J8" s="149">
        <f>SUMIF(Gemstone[Stone Type],Ascension_Stones4447[[#This Row],[Gemstone]],Gemstone[Silver])</f>
        <v>0</v>
      </c>
      <c r="K8" s="144" t="e" vm="97">
        <f>IFERROR(INDEX(GemsImg[Icon], MATCH(_xlfn.CONCAT(Ascension_Stones4447[[#This Row],[Stone Name]],"Gemstone"), GemsImg[Name], 0)), "")</f>
        <v>#VALUE!</v>
      </c>
      <c r="L8" s="36">
        <f>IFERROR(INDEX(GemsInv[Quantity], MATCH(Ascension_Stones4447[[#This Row],[Gemstone2]], GemsInv[Icon], 0)), "")</f>
        <v>30</v>
      </c>
      <c r="M8" s="36" t="e" vm="775">
        <f>IFERROR(INDEX(GemsImg[Icon], MATCH(_xlfn.CONCAT(Ascension_Stones4447[[#This Row],[Stone Name]],"Chunk"), GemsImg[Name], 0)), "")</f>
        <v>#VALUE!</v>
      </c>
      <c r="N8" s="36">
        <f>IFERROR(INDEX(GemsInv[Quantity], MATCH(Ascension_Stones4447[[#This Row],[Chunk6]], GemsInv[Icon], 0)), "")</f>
        <v>38</v>
      </c>
      <c r="O8" s="36" t="e" vm="776">
        <f>IFERROR(INDEX(GemsImg[Icon], MATCH(_xlfn.CONCAT(Ascension_Stones4447[[#This Row],[Stone Name]],"Fragment"), GemsImg[Name], 0)), "")</f>
        <v>#VALUE!</v>
      </c>
      <c r="P8" s="36">
        <f>IFERROR(INDEX(GemsInv[Quantity], MATCH(Ascension_Stones4447[[#This Row],[Fragment11]], GemsInv[Icon], 0)), "")</f>
        <v>157</v>
      </c>
      <c r="Q8" s="36" t="e" vm="778">
        <f>IFERROR(INDEX(GemsImg[Icon], MATCH(_xlfn.CONCAT(Ascension_Stones4447[[#This Row],[Stone Name]],"Silver"), GemsImg[Name], 0)), "")</f>
        <v>#VALUE!</v>
      </c>
      <c r="R8" s="149">
        <f>IFERROR(INDEX(GemsInv[Quantity], MATCH(Ascension_Stones4447[[#This Row],[Silver13]], GemsInv[Icon], 0)), "")</f>
        <v>152</v>
      </c>
      <c r="S8" s="144" t="e" vm="97">
        <f>IFERROR(INDEX(GemsImg[Icon], MATCH(_xlfn.CONCAT(Ascension_Stones4447[[#This Row],[Stone Name]],"Gemstone"), GemsImg[Name], 0)), "")</f>
        <v>#VALUE!</v>
      </c>
      <c r="T8" s="36">
        <f>Ascension_Stones4447[[#This Row],[Need to Farm1.1]]-Ascension_Stones4447[[#This Row],[Need to Farm2.1]]</f>
        <v>6</v>
      </c>
      <c r="U8" s="36" t="e" vm="775">
        <f>IFERROR(INDEX(GemsImg[Icon], MATCH(_xlfn.CONCAT(Ascension_Stones4447[[#This Row],[Stone Name]],"Chunk"), GemsImg[Name], 0)), "")</f>
        <v>#VALUE!</v>
      </c>
      <c r="V8" s="36">
        <f>Ascension_Stones4447[[#This Row],[Need to Farm1.2]]-Ascension_Stones4447[[#This Row],[Need to Farm2.2]]</f>
        <v>1</v>
      </c>
      <c r="W8" s="36" t="e" vm="776">
        <f>IFERROR(INDEX(GemsImg[Icon], MATCH(_xlfn.CONCAT(Ascension_Stones4447[[#This Row],[Stone Name]],"Fragment"), GemsImg[Name], 0)), "")</f>
        <v>#VALUE!</v>
      </c>
      <c r="X8" s="36">
        <f>Ascension_Stones4447[[#This Row],[Need to Farm1.3]]-Ascension_Stones4447[[#This Row],[Need to Farm2.3]]</f>
        <v>-148</v>
      </c>
      <c r="Y8" s="36" t="e" vm="778">
        <f>IFERROR(INDEX(GemsImg[Icon], MATCH(_xlfn.CONCAT(Ascension_Stones4447[[#This Row],[Stone Name]],"Silver"), GemsImg[Name], 0)), "")</f>
        <v>#VALUE!</v>
      </c>
      <c r="Z8" s="149">
        <f>Ascension_Stones4447[[#This Row],[Need to Farm1.4]]-Ascension_Stones4447[[#This Row],[Need to Farm2.4]]</f>
        <v>-152</v>
      </c>
    </row>
    <row r="9" spans="1:26" ht="30" customHeight="1" x14ac:dyDescent="0.25">
      <c r="A9" s="144">
        <f>SUBTOTAL(3,$B$4:Ascension_Stones4447[[#This Row],[Stone Name]])</f>
        <v>6</v>
      </c>
      <c r="B9" s="149" t="s">
        <v>776</v>
      </c>
      <c r="C9" s="144" t="e" vm="135">
        <f>IFERROR(INDEX(GemsImg[Icon], MATCH(_xlfn.CONCAT(Ascension_Stones4447[[#This Row],[Stone Name]],"Gemstone"), GemsImg[Name], 0)), "")</f>
        <v>#VALUE!</v>
      </c>
      <c r="D9" s="36">
        <f>SUMIF(Gemstone[Stone Type],Ascension_Stones4447[[#This Row],[Gemstone]],Gemstone[Gemstone])</f>
        <v>30</v>
      </c>
      <c r="E9" s="36" t="e" vm="780">
        <f>IFERROR(INDEX(GemsImg[Icon], MATCH(_xlfn.CONCAT(Ascension_Stones4447[[#This Row],[Stone Name]],"Chunk"), GemsImg[Name], 0)), "")</f>
        <v>#VALUE!</v>
      </c>
      <c r="F9" s="36">
        <f>SUMIF(Gemstone[Stone Type],Ascension_Stones4447[[#This Row],[Gemstone]],Gemstone[Chunk])</f>
        <v>36</v>
      </c>
      <c r="G9" s="36" t="e" vm="782">
        <f>IFERROR(INDEX(GemsImg[Icon], MATCH(_xlfn.CONCAT(Ascension_Stones4447[[#This Row],[Stone Name]],"Fragment"), GemsImg[Name], 0)), "")</f>
        <v>#VALUE!</v>
      </c>
      <c r="H9" s="36">
        <f>SUMIF(Gemstone[Stone Type],Ascension_Stones4447[[#This Row],[Gemstone]],Gemstone[Fragment])</f>
        <v>27</v>
      </c>
      <c r="I9" s="36" t="e" vm="784">
        <f>IFERROR(INDEX(GemsImg[Icon], MATCH(_xlfn.CONCAT(Ascension_Stones4447[[#This Row],[Stone Name]],"Silver"), GemsImg[Name], 0)), "")</f>
        <v>#VALUE!</v>
      </c>
      <c r="J9" s="149">
        <f>SUMIF(Gemstone[Stone Type],Ascension_Stones4447[[#This Row],[Gemstone]],Gemstone[Silver])</f>
        <v>0</v>
      </c>
      <c r="K9" s="144" t="e" vm="135">
        <f>IFERROR(INDEX(GemsImg[Icon], MATCH(_xlfn.CONCAT(Ascension_Stones4447[[#This Row],[Stone Name]],"Gemstone"), GemsImg[Name], 0)), "")</f>
        <v>#VALUE!</v>
      </c>
      <c r="L9" s="36">
        <f>IFERROR(INDEX(GemsInv[Quantity], MATCH(Ascension_Stones4447[[#This Row],[Gemstone2]], GemsInv[Icon], 0)), "")</f>
        <v>5</v>
      </c>
      <c r="M9" s="36" t="e" vm="780">
        <f>IFERROR(INDEX(GemsImg[Icon], MATCH(_xlfn.CONCAT(Ascension_Stones4447[[#This Row],[Stone Name]],"Chunk"), GemsImg[Name], 0)), "")</f>
        <v>#VALUE!</v>
      </c>
      <c r="N9" s="36">
        <f>IFERROR(INDEX(GemsInv[Quantity], MATCH(Ascension_Stones4447[[#This Row],[Chunk6]], GemsInv[Icon], 0)), "")</f>
        <v>47</v>
      </c>
      <c r="O9" s="36" t="e" vm="782">
        <f>IFERROR(INDEX(GemsImg[Icon], MATCH(_xlfn.CONCAT(Ascension_Stones4447[[#This Row],[Stone Name]],"Fragment"), GemsImg[Name], 0)), "")</f>
        <v>#VALUE!</v>
      </c>
      <c r="P9" s="36">
        <f>IFERROR(INDEX(GemsInv[Quantity], MATCH(Ascension_Stones4447[[#This Row],[Fragment11]], GemsInv[Icon], 0)), "")</f>
        <v>140</v>
      </c>
      <c r="Q9" s="36" t="e" vm="784">
        <f>IFERROR(INDEX(GemsImg[Icon], MATCH(_xlfn.CONCAT(Ascension_Stones4447[[#This Row],[Stone Name]],"Silver"), GemsImg[Name], 0)), "")</f>
        <v>#VALUE!</v>
      </c>
      <c r="R9" s="149">
        <f>IFERROR(INDEX(GemsInv[Quantity], MATCH(Ascension_Stones4447[[#This Row],[Silver13]], GemsInv[Icon], 0)), "")</f>
        <v>169</v>
      </c>
      <c r="S9" s="144" t="e" vm="135">
        <f>IFERROR(INDEX(GemsImg[Icon], MATCH(_xlfn.CONCAT(Ascension_Stones4447[[#This Row],[Stone Name]],"Gemstone"), GemsImg[Name], 0)), "")</f>
        <v>#VALUE!</v>
      </c>
      <c r="T9" s="36">
        <f>Ascension_Stones4447[[#This Row],[Need to Farm1.1]]-Ascension_Stones4447[[#This Row],[Need to Farm2.1]]</f>
        <v>25</v>
      </c>
      <c r="U9" s="36" t="e" vm="780">
        <f>IFERROR(INDEX(GemsImg[Icon], MATCH(_xlfn.CONCAT(Ascension_Stones4447[[#This Row],[Stone Name]],"Chunk"), GemsImg[Name], 0)), "")</f>
        <v>#VALUE!</v>
      </c>
      <c r="V9" s="36">
        <f>Ascension_Stones4447[[#This Row],[Need to Farm1.2]]-Ascension_Stones4447[[#This Row],[Need to Farm2.2]]</f>
        <v>-11</v>
      </c>
      <c r="W9" s="36" t="e" vm="782">
        <f>IFERROR(INDEX(GemsImg[Icon], MATCH(_xlfn.CONCAT(Ascension_Stones4447[[#This Row],[Stone Name]],"Fragment"), GemsImg[Name], 0)), "")</f>
        <v>#VALUE!</v>
      </c>
      <c r="X9" s="36">
        <f>Ascension_Stones4447[[#This Row],[Need to Farm1.3]]-Ascension_Stones4447[[#This Row],[Need to Farm2.3]]</f>
        <v>-113</v>
      </c>
      <c r="Y9" s="36" t="e" vm="784">
        <f>IFERROR(INDEX(GemsImg[Icon], MATCH(_xlfn.CONCAT(Ascension_Stones4447[[#This Row],[Stone Name]],"Silver"), GemsImg[Name], 0)), "")</f>
        <v>#VALUE!</v>
      </c>
      <c r="Z9" s="149">
        <f>Ascension_Stones4447[[#This Row],[Need to Farm1.4]]-Ascension_Stones4447[[#This Row],[Need to Farm2.4]]</f>
        <v>-169</v>
      </c>
    </row>
    <row r="10" spans="1:26" ht="30" customHeight="1" x14ac:dyDescent="0.25">
      <c r="A10" s="144">
        <f>SUBTOTAL(3,$B$4:Ascension_Stones4447[[#This Row],[Stone Name]])</f>
        <v>7</v>
      </c>
      <c r="B10" s="149" t="s">
        <v>777</v>
      </c>
      <c r="C10" s="144" t="e" vm="169">
        <f>IFERROR(INDEX(GemsImg[Icon], MATCH(_xlfn.CONCAT(Ascension_Stones4447[[#This Row],[Stone Name]],"Gemstone"), GemsImg[Name], 0)), "")</f>
        <v>#VALUE!</v>
      </c>
      <c r="D10" s="36">
        <f>SUMIF(Gemstone[Stone Type],Ascension_Stones4447[[#This Row],[Gemstone]],Gemstone[Gemstone])</f>
        <v>48</v>
      </c>
      <c r="E10" s="36" t="e" vm="786">
        <f>IFERROR(INDEX(GemsImg[Icon], MATCH(_xlfn.CONCAT(Ascension_Stones4447[[#This Row],[Stone Name]],"Chunk"), GemsImg[Name], 0)), "")</f>
        <v>#VALUE!</v>
      </c>
      <c r="F10" s="36">
        <f>SUMIF(Gemstone[Stone Type],Ascension_Stones4447[[#This Row],[Gemstone]],Gemstone[Chunk])</f>
        <v>63</v>
      </c>
      <c r="G10" s="36" t="e" vm="788">
        <f>IFERROR(INDEX(GemsImg[Icon], MATCH(_xlfn.CONCAT(Ascension_Stones4447[[#This Row],[Stone Name]],"Fragment"), GemsImg[Name], 0)), "")</f>
        <v>#VALUE!</v>
      </c>
      <c r="H10" s="36">
        <f>SUMIF(Gemstone[Stone Type],Ascension_Stones4447[[#This Row],[Gemstone]],Gemstone[Fragment])</f>
        <v>51</v>
      </c>
      <c r="I10" s="36" t="e" vm="789">
        <f>IFERROR(INDEX(GemsImg[Icon], MATCH(_xlfn.CONCAT(Ascension_Stones4447[[#This Row],[Stone Name]],"Silver"), GemsImg[Name], 0)), "")</f>
        <v>#VALUE!</v>
      </c>
      <c r="J10" s="149">
        <f>SUMIF(Gemstone[Stone Type],Ascension_Stones4447[[#This Row],[Gemstone]],Gemstone[Silver])</f>
        <v>0</v>
      </c>
      <c r="K10" s="144" t="e" vm="169">
        <f>IFERROR(INDEX(GemsImg[Icon], MATCH(_xlfn.CONCAT(Ascension_Stones4447[[#This Row],[Stone Name]],"Gemstone"), GemsImg[Name], 0)), "")</f>
        <v>#VALUE!</v>
      </c>
      <c r="L10" s="36">
        <f>IFERROR(INDEX(GemsInv[Quantity], MATCH(Ascension_Stones4447[[#This Row],[Gemstone2]], GemsInv[Icon], 0)), "")</f>
        <v>11</v>
      </c>
      <c r="M10" s="36" t="e" vm="786">
        <f>IFERROR(INDEX(GemsImg[Icon], MATCH(_xlfn.CONCAT(Ascension_Stones4447[[#This Row],[Stone Name]],"Chunk"), GemsImg[Name], 0)), "")</f>
        <v>#VALUE!</v>
      </c>
      <c r="N10" s="36">
        <f>IFERROR(INDEX(GemsInv[Quantity], MATCH(Ascension_Stones4447[[#This Row],[Chunk6]], GemsInv[Icon], 0)), "")</f>
        <v>68</v>
      </c>
      <c r="O10" s="36" t="e" vm="788">
        <f>IFERROR(INDEX(GemsImg[Icon], MATCH(_xlfn.CONCAT(Ascension_Stones4447[[#This Row],[Stone Name]],"Fragment"), GemsImg[Name], 0)), "")</f>
        <v>#VALUE!</v>
      </c>
      <c r="P10" s="36">
        <f>IFERROR(INDEX(GemsInv[Quantity], MATCH(Ascension_Stones4447[[#This Row],[Fragment11]], GemsInv[Icon], 0)), "")</f>
        <v>140</v>
      </c>
      <c r="Q10" s="36" t="e" vm="789">
        <f>IFERROR(INDEX(GemsImg[Icon], MATCH(_xlfn.CONCAT(Ascension_Stones4447[[#This Row],[Stone Name]],"Silver"), GemsImg[Name], 0)), "")</f>
        <v>#VALUE!</v>
      </c>
      <c r="R10" s="149">
        <f>IFERROR(INDEX(GemsInv[Quantity], MATCH(Ascension_Stones4447[[#This Row],[Silver13]], GemsInv[Icon], 0)), "")</f>
        <v>121</v>
      </c>
      <c r="S10" s="144" t="e" vm="169">
        <f>IFERROR(INDEX(GemsImg[Icon], MATCH(_xlfn.CONCAT(Ascension_Stones4447[[#This Row],[Stone Name]],"Gemstone"), GemsImg[Name], 0)), "")</f>
        <v>#VALUE!</v>
      </c>
      <c r="T10" s="36">
        <f>Ascension_Stones4447[[#This Row],[Need to Farm1.1]]-Ascension_Stones4447[[#This Row],[Need to Farm2.1]]</f>
        <v>37</v>
      </c>
      <c r="U10" s="36" t="e" vm="786">
        <f>IFERROR(INDEX(GemsImg[Icon], MATCH(_xlfn.CONCAT(Ascension_Stones4447[[#This Row],[Stone Name]],"Chunk"), GemsImg[Name], 0)), "")</f>
        <v>#VALUE!</v>
      </c>
      <c r="V10" s="36">
        <f>Ascension_Stones4447[[#This Row],[Need to Farm1.2]]-Ascension_Stones4447[[#This Row],[Need to Farm2.2]]</f>
        <v>-5</v>
      </c>
      <c r="W10" s="36" t="e" vm="788">
        <f>IFERROR(INDEX(GemsImg[Icon], MATCH(_xlfn.CONCAT(Ascension_Stones4447[[#This Row],[Stone Name]],"Fragment"), GemsImg[Name], 0)), "")</f>
        <v>#VALUE!</v>
      </c>
      <c r="X10" s="36">
        <f>Ascension_Stones4447[[#This Row],[Need to Farm1.3]]-Ascension_Stones4447[[#This Row],[Need to Farm2.3]]</f>
        <v>-89</v>
      </c>
      <c r="Y10" s="36" t="e" vm="789">
        <f>IFERROR(INDEX(GemsImg[Icon], MATCH(_xlfn.CONCAT(Ascension_Stones4447[[#This Row],[Stone Name]],"Silver"), GemsImg[Name], 0)), "")</f>
        <v>#VALUE!</v>
      </c>
      <c r="Z10" s="149">
        <f>Ascension_Stones4447[[#This Row],[Need to Farm1.4]]-Ascension_Stones4447[[#This Row],[Need to Farm2.4]]</f>
        <v>-121</v>
      </c>
    </row>
    <row r="11" spans="1:26" ht="30" customHeight="1" thickBot="1" x14ac:dyDescent="0.3">
      <c r="A11" s="144">
        <f>SUBTOTAL(3,$B$4:Ascension_Stones4447[[#This Row],[Stone Name]])</f>
        <v>8</v>
      </c>
      <c r="B11" s="149" t="s">
        <v>778</v>
      </c>
      <c r="C11" s="150" t="e" vm="12">
        <f>IFERROR(INDEX(GemsImg[Icon], MATCH(_xlfn.CONCAT(Ascension_Stones4447[[#This Row],[Stone Name]],"Gemstone"), GemsImg[Name], 0)), "")</f>
        <v>#VALUE!</v>
      </c>
      <c r="D11" s="151">
        <f>SUMIF(Gemstone[Stone Type],Ascension_Stones4447[[#This Row],[Gemstone]],Gemstone[Gemstone])</f>
        <v>12</v>
      </c>
      <c r="E11" s="151" t="e" vm="794">
        <f>IFERROR(INDEX(GemsImg[Icon], MATCH(_xlfn.CONCAT(Ascension_Stones4447[[#This Row],[Stone Name]],"Chunk"), GemsImg[Name], 0)), "")</f>
        <v>#VALUE!</v>
      </c>
      <c r="F11" s="151">
        <f>SUMIF(Gemstone[Stone Type],Ascension_Stones4447[[#This Row],[Gemstone]],Gemstone[Chunk])</f>
        <v>18</v>
      </c>
      <c r="G11" s="151" t="e" vm="795">
        <f>IFERROR(INDEX(GemsImg[Icon], MATCH(_xlfn.CONCAT(Ascension_Stones4447[[#This Row],[Stone Name]],"Fragment"), GemsImg[Name], 0)), "")</f>
        <v>#VALUE!</v>
      </c>
      <c r="H11" s="151">
        <f>SUMIF(Gemstone[Stone Type],Ascension_Stones4447[[#This Row],[Gemstone]],Gemstone[Fragment])</f>
        <v>18</v>
      </c>
      <c r="I11" s="151" t="e" vm="797">
        <f>IFERROR(INDEX(GemsImg[Icon], MATCH(_xlfn.CONCAT(Ascension_Stones4447[[#This Row],[Stone Name]],"Silver"), GemsImg[Name], 0)), "")</f>
        <v>#VALUE!</v>
      </c>
      <c r="J11" s="152">
        <f>SUMIF(Gemstone[Stone Type],Ascension_Stones4447[[#This Row],[Gemstone]],Gemstone[Silver])</f>
        <v>0</v>
      </c>
      <c r="K11" s="150" t="e" vm="12">
        <f>IFERROR(INDEX(GemsImg[Icon], MATCH(_xlfn.CONCAT(Ascension_Stones4447[[#This Row],[Stone Name]],"Gemstone"), GemsImg[Name], 0)), "")</f>
        <v>#VALUE!</v>
      </c>
      <c r="L11" s="151">
        <f>IFERROR(INDEX(GemsInv[Quantity], MATCH(Ascension_Stones4447[[#This Row],[Gemstone2]], GemsInv[Icon], 0)), "")</f>
        <v>12</v>
      </c>
      <c r="M11" s="151" t="e" vm="794">
        <f>IFERROR(INDEX(GemsImg[Icon], MATCH(_xlfn.CONCAT(Ascension_Stones4447[[#This Row],[Stone Name]],"Chunk"), GemsImg[Name], 0)), "")</f>
        <v>#VALUE!</v>
      </c>
      <c r="N11" s="151">
        <f>IFERROR(INDEX(GemsInv[Quantity], MATCH(Ascension_Stones4447[[#This Row],[Chunk6]], GemsInv[Icon], 0)), "")</f>
        <v>81</v>
      </c>
      <c r="O11" s="151" t="e" vm="795">
        <f>IFERROR(INDEX(GemsImg[Icon], MATCH(_xlfn.CONCAT(Ascension_Stones4447[[#This Row],[Stone Name]],"Fragment"), GemsImg[Name], 0)), "")</f>
        <v>#VALUE!</v>
      </c>
      <c r="P11" s="151">
        <f>IFERROR(INDEX(GemsInv[Quantity], MATCH(Ascension_Stones4447[[#This Row],[Fragment11]], GemsInv[Icon], 0)), "")</f>
        <v>127</v>
      </c>
      <c r="Q11" s="151" t="e" vm="797">
        <f>IFERROR(INDEX(GemsImg[Icon], MATCH(_xlfn.CONCAT(Ascension_Stones4447[[#This Row],[Stone Name]],"Silver"), GemsImg[Name], 0)), "")</f>
        <v>#VALUE!</v>
      </c>
      <c r="R11" s="152">
        <f>IFERROR(INDEX(GemsInv[Quantity], MATCH(Ascension_Stones4447[[#This Row],[Silver13]], GemsInv[Icon], 0)), "")</f>
        <v>144</v>
      </c>
      <c r="S11" s="150" t="e" vm="12">
        <f>IFERROR(INDEX(GemsImg[Icon], MATCH(_xlfn.CONCAT(Ascension_Stones4447[[#This Row],[Stone Name]],"Gemstone"), GemsImg[Name], 0)), "")</f>
        <v>#VALUE!</v>
      </c>
      <c r="T11" s="151">
        <f>Ascension_Stones4447[[#This Row],[Need to Farm1.1]]-Ascension_Stones4447[[#This Row],[Need to Farm2.1]]</f>
        <v>0</v>
      </c>
      <c r="U11" s="151" t="e" vm="794">
        <f>IFERROR(INDEX(GemsImg[Icon], MATCH(_xlfn.CONCAT(Ascension_Stones4447[[#This Row],[Stone Name]],"Chunk"), GemsImg[Name], 0)), "")</f>
        <v>#VALUE!</v>
      </c>
      <c r="V11" s="151">
        <f>Ascension_Stones4447[[#This Row],[Need to Farm1.2]]-Ascension_Stones4447[[#This Row],[Need to Farm2.2]]</f>
        <v>-63</v>
      </c>
      <c r="W11" s="151" t="e" vm="795">
        <f>IFERROR(INDEX(GemsImg[Icon], MATCH(_xlfn.CONCAT(Ascension_Stones4447[[#This Row],[Stone Name]],"Fragment"), GemsImg[Name], 0)), "")</f>
        <v>#VALUE!</v>
      </c>
      <c r="X11" s="151">
        <f>Ascension_Stones4447[[#This Row],[Need to Farm1.3]]-Ascension_Stones4447[[#This Row],[Need to Farm2.3]]</f>
        <v>-109</v>
      </c>
      <c r="Y11" s="151" t="e" vm="797">
        <f>IFERROR(INDEX(GemsImg[Icon], MATCH(_xlfn.CONCAT(Ascension_Stones4447[[#This Row],[Stone Name]],"Silver"), GemsImg[Name], 0)), "")</f>
        <v>#VALUE!</v>
      </c>
      <c r="Z11" s="152">
        <f>Ascension_Stones4447[[#This Row],[Need to Farm1.4]]-Ascension_Stones4447[[#This Row],[Need to Farm2.4]]</f>
        <v>-144</v>
      </c>
    </row>
    <row r="12" spans="1:26" ht="30" customHeight="1" thickBot="1" x14ac:dyDescent="0.3">
      <c r="A12" s="150" t="s">
        <v>706</v>
      </c>
      <c r="B12" s="151" t="s">
        <v>706</v>
      </c>
      <c r="C12" s="153"/>
      <c r="D12" s="154">
        <f>SUMIF(Ascension_Stones4447[Need to Farm1.1],"&gt;=0")</f>
        <v>204</v>
      </c>
      <c r="E12" s="154"/>
      <c r="F12" s="154">
        <f>SUMIF(Ascension_Stones4447[Need to Farm1.2],"&gt;=0")</f>
        <v>264</v>
      </c>
      <c r="G12" s="154"/>
      <c r="H12" s="154">
        <f>SUMIF(Ascension_Stones4447[Need to Farm1.3],"&gt;=0")</f>
        <v>204</v>
      </c>
      <c r="I12" s="154"/>
      <c r="J12" s="155">
        <f>SUMIF(Ascension_Stones4447[Need to Farm1.4],"&gt;=0")</f>
        <v>0</v>
      </c>
      <c r="K12" s="153"/>
      <c r="L12" s="154">
        <f>SUMIF(Ascension_Stones4447[Need to Farm2.1],"&gt;=0")</f>
        <v>85</v>
      </c>
      <c r="M12" s="154"/>
      <c r="N12" s="154">
        <f>SUMIF(Ascension_Stones4447[Need to Farm2.2],"&gt;=0")</f>
        <v>330</v>
      </c>
      <c r="O12" s="154"/>
      <c r="P12" s="154">
        <f>SUMIF(Ascension_Stones4447[Need to Farm2.3],"&gt;=0")</f>
        <v>931</v>
      </c>
      <c r="Q12" s="154"/>
      <c r="R12" s="155">
        <f>SUMIF(Ascension_Stones4447[Need to Farm2.4],"&gt;=0")</f>
        <v>1002</v>
      </c>
      <c r="S12" s="153"/>
      <c r="T12" s="154">
        <f>SUMIF(Ascension_Stones4447[Need to Farm3.1],"&gt;=0")</f>
        <v>119</v>
      </c>
      <c r="U12" s="154"/>
      <c r="V12" s="154">
        <f>SUMIF(Ascension_Stones4447[Need to Farm3.2],"&gt;=0")</f>
        <v>16</v>
      </c>
      <c r="W12" s="154"/>
      <c r="X12" s="154">
        <f>SUMIF(Ascension_Stones4447[Need to Farm3.3],"&gt;=0")</f>
        <v>0</v>
      </c>
      <c r="Y12" s="154"/>
      <c r="Z12" s="155">
        <f>SUMIF(Ascension_Stones4447[Need to Farm3.4],"&gt;=0")</f>
        <v>0</v>
      </c>
    </row>
    <row r="13" spans="1:26" ht="30" customHeight="1" x14ac:dyDescent="0.25"/>
    <row r="14" spans="1:26" ht="30" customHeight="1" x14ac:dyDescent="0.25"/>
    <row r="15" spans="1:26" ht="30" customHeight="1" x14ac:dyDescent="0.25"/>
    <row r="16" spans="1:26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</sheetData>
  <mergeCells count="4">
    <mergeCell ref="C2:J2"/>
    <mergeCell ref="A1:Z1"/>
    <mergeCell ref="K2:R2"/>
    <mergeCell ref="S2:Z2"/>
  </mergeCells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F5CF9-B2CB-47F3-A511-836FC48CDFCB}">
  <sheetPr codeName="Sheet7">
    <tabColor rgb="FFFFC000"/>
  </sheetPr>
  <dimension ref="A1:X46"/>
  <sheetViews>
    <sheetView zoomScaleNormal="100" workbookViewId="0">
      <selection activeCell="R8" sqref="R8"/>
    </sheetView>
  </sheetViews>
  <sheetFormatPr defaultColWidth="9.140625" defaultRowHeight="15.75" x14ac:dyDescent="0.25"/>
  <cols>
    <col min="1" max="1" width="9.140625" style="36" customWidth="1"/>
    <col min="2" max="2" width="25.140625" style="36" customWidth="1"/>
    <col min="3" max="5" width="17" style="36" hidden="1" customWidth="1"/>
    <col min="6" max="6" width="12.42578125" style="36" customWidth="1"/>
    <col min="7" max="24" width="8.5703125" style="36" customWidth="1"/>
    <col min="25" max="16384" width="9.140625" style="36"/>
  </cols>
  <sheetData>
    <row r="1" spans="1:24" ht="36" thickBot="1" x14ac:dyDescent="0.3">
      <c r="A1" s="206" t="s">
        <v>67</v>
      </c>
      <c r="B1" s="207"/>
      <c r="C1" s="207"/>
      <c r="D1" s="207"/>
      <c r="E1" s="207"/>
      <c r="F1" s="207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5"/>
    </row>
    <row r="2" spans="1:24" ht="31.5" x14ac:dyDescent="0.25">
      <c r="A2" s="184" t="s">
        <v>670</v>
      </c>
      <c r="B2" s="185" t="s">
        <v>770</v>
      </c>
      <c r="C2" s="158"/>
      <c r="D2" s="158"/>
      <c r="E2" s="158"/>
      <c r="F2" s="186" t="s">
        <v>672</v>
      </c>
      <c r="G2" s="210" t="s">
        <v>753</v>
      </c>
      <c r="H2" s="210"/>
      <c r="I2" s="210"/>
      <c r="J2" s="210"/>
      <c r="K2" s="210"/>
      <c r="L2" s="211"/>
      <c r="M2" s="209" t="s">
        <v>711</v>
      </c>
      <c r="N2" s="210"/>
      <c r="O2" s="210"/>
      <c r="P2" s="210"/>
      <c r="Q2" s="210"/>
      <c r="R2" s="211"/>
      <c r="S2" s="209" t="s">
        <v>712</v>
      </c>
      <c r="T2" s="210"/>
      <c r="U2" s="210"/>
      <c r="V2" s="210"/>
      <c r="W2" s="210"/>
      <c r="X2" s="211"/>
    </row>
    <row r="3" spans="1:24" s="43" customFormat="1" ht="15" customHeight="1" thickBot="1" x14ac:dyDescent="0.3">
      <c r="A3" s="178" t="s">
        <v>670</v>
      </c>
      <c r="B3" s="179" t="s">
        <v>770</v>
      </c>
      <c r="C3" s="179" t="s">
        <v>808</v>
      </c>
      <c r="D3" s="179" t="s">
        <v>809</v>
      </c>
      <c r="E3" s="179" t="s">
        <v>810</v>
      </c>
      <c r="F3" s="180" t="s">
        <v>672</v>
      </c>
      <c r="G3" s="179" t="s">
        <v>59</v>
      </c>
      <c r="H3" s="179" t="s">
        <v>790</v>
      </c>
      <c r="I3" s="179" t="s">
        <v>58</v>
      </c>
      <c r="J3" s="179" t="s">
        <v>840</v>
      </c>
      <c r="K3" s="179" t="s">
        <v>57</v>
      </c>
      <c r="L3" s="180" t="s">
        <v>791</v>
      </c>
      <c r="M3" s="178" t="s">
        <v>792</v>
      </c>
      <c r="N3" s="179" t="s">
        <v>793</v>
      </c>
      <c r="O3" s="179" t="s">
        <v>794</v>
      </c>
      <c r="P3" s="179" t="s">
        <v>841</v>
      </c>
      <c r="Q3" s="179" t="s">
        <v>795</v>
      </c>
      <c r="R3" s="180" t="s">
        <v>842</v>
      </c>
      <c r="S3" s="178" t="s">
        <v>796</v>
      </c>
      <c r="T3" s="179" t="s">
        <v>799</v>
      </c>
      <c r="U3" s="179" t="s">
        <v>797</v>
      </c>
      <c r="V3" s="179" t="s">
        <v>800</v>
      </c>
      <c r="W3" s="179" t="s">
        <v>798</v>
      </c>
      <c r="X3" s="180" t="s">
        <v>801</v>
      </c>
    </row>
    <row r="4" spans="1:24" ht="30" customHeight="1" x14ac:dyDescent="0.25">
      <c r="A4" s="144">
        <f>SUBTOTAL(3,$B$4:Monster_Materials[[#This Row],[Link to Interactive Map]])</f>
        <v>1</v>
      </c>
      <c r="B4" s="176" t="s">
        <v>86</v>
      </c>
      <c r="C4" s="36" t="s">
        <v>112</v>
      </c>
      <c r="D4" s="36" t="s">
        <v>99</v>
      </c>
      <c r="E4" s="36" t="s">
        <v>87</v>
      </c>
      <c r="F4" s="165">
        <v>1</v>
      </c>
      <c r="G4" s="183" t="e" vm="133">
        <f>IFERROR(INDEX(MonsterMaterialsImg[3*Icon], MATCH(Monster_Materials[[#This Row],[HelperName3*]], MonsterMaterialsImg[3*Name], 0)), "")</f>
        <v>#VALUE!</v>
      </c>
      <c r="H4" s="36">
        <f>(SUMIF(MonsterMaterials[Material Type],Monster_Materials[[#This Row],[3* Mats]],MonsterMaterials[3* (Asc)]))+(SUMIF(MonsterMaterials[Material Type],Monster_Materials[[#This Row],[3* Mats]],MonsterMaterials[3* (Tal)]))</f>
        <v>395</v>
      </c>
      <c r="I4" s="145" t="e" vm="723">
        <f>IFERROR(INDEX(MonsterMaterialsImg[2*Icon], MATCH(Monster_Materials[[#This Row],[HelperName2*]], MonsterMaterialsImg[2*Name], 0)), "")</f>
        <v>#VALUE!</v>
      </c>
      <c r="J4" s="36">
        <f>(SUMIF(MonsterMaterials[Material Type],Monster_Materials[[#This Row],[3* Mats]],MonsterMaterials[2* (Asc)]))+(SUMIF(MonsterMaterials[Material Type],Monster_Materials[[#This Row],[3* Mats]],MonsterMaterials[2* (Tal)]))</f>
        <v>327</v>
      </c>
      <c r="K4" s="145" t="e" vm="724">
        <f>IFERROR(INDEX(MonsterMaterialsImg[1*Icon], MATCH(Monster_Materials[[#This Row],[HelperName1*]], MonsterMaterialsImg[1*Name], 0)), "")</f>
        <v>#VALUE!</v>
      </c>
      <c r="L4" s="149">
        <f>(SUMIF(MonsterMaterials[Material Type],Monster_Materials[[#This Row],[3* Mats]],MonsterMaterials[1* (Asc)]))+(SUMIF(MonsterMaterials[Material Type],Monster_Materials[[#This Row],[3* Mats]],MonsterMaterials[1* (Tal)]))</f>
        <v>114</v>
      </c>
      <c r="M4" s="183" t="e" vm="133">
        <f>IFERROR(INDEX(MonsterMaterialsImg[3*Icon], MATCH(Monster_Materials[[#This Row],[HelperName3*]], MonsterMaterialsImg[3*Name], 0)), "")</f>
        <v>#VALUE!</v>
      </c>
      <c r="N4" s="36">
        <f>IFERROR(INDEX(MonsterMaterialsInv[3* Quantity], MATCH(Monster_Materials[[#This Row],[3* Mats2]], MonsterMaterialsInv[3* Icon], 0)), "")</f>
        <v>104</v>
      </c>
      <c r="O4" s="145" t="e" vm="723">
        <f>IFERROR(INDEX(MonsterMaterialsImg[2*Icon], MATCH(Monster_Materials[[#This Row],[HelperName2*]], MonsterMaterialsImg[2*Name], 0)), "")</f>
        <v>#VALUE!</v>
      </c>
      <c r="P4" s="36">
        <f>IFERROR(INDEX(MonsterMaterialsInv[2* Quantity], MATCH(Monster_Materials[[#This Row],[2* Mats2]], MonsterMaterialsInv[2* Icon], 0)), "")</f>
        <v>481</v>
      </c>
      <c r="Q4" s="145" t="e" vm="724">
        <f>IFERROR(INDEX(MonsterMaterialsImg[1*Icon], MATCH(Monster_Materials[[#This Row],[HelperName1*]], MonsterMaterialsImg[1*Name], 0)), "")</f>
        <v>#VALUE!</v>
      </c>
      <c r="R4" s="149">
        <f>IFERROR(INDEX(MonsterMaterialsInv[1* Quantity], MATCH(Monster_Materials[[#This Row],[1* Mats2]], MonsterMaterialsInv[1* Icon], 0)), "")</f>
        <v>2024</v>
      </c>
      <c r="S4" s="183" t="e" vm="133">
        <f>IFERROR(INDEX(MonsterMaterialsImg[3*Icon], MATCH(Monster_Materials[[#This Row],[HelperName3*]], MonsterMaterialsImg[3*Name], 0)), "")</f>
        <v>#VALUE!</v>
      </c>
      <c r="T4" s="36">
        <f>Monster_Materials[[#This Row],[Need1]]-Monster_Materials[[#This Row],[Acquired1]]</f>
        <v>291</v>
      </c>
      <c r="U4" s="145" t="e" vm="723">
        <f>IFERROR(INDEX(MonsterMaterialsImg[2*Icon], MATCH(Monster_Materials[[#This Row],[HelperName2*]], MonsterMaterialsImg[2*Name], 0)), "")</f>
        <v>#VALUE!</v>
      </c>
      <c r="V4" s="36">
        <f>Monster_Materials[[#This Row],[Need2]]-Monster_Materials[[#This Row],[Acquired2]]</f>
        <v>-154</v>
      </c>
      <c r="W4" s="145" t="e" vm="724">
        <f>IFERROR(INDEX(MonsterMaterialsImg[1*Icon], MATCH(Monster_Materials[[#This Row],[HelperName1*]], MonsterMaterialsImg[1*Name], 0)), "")</f>
        <v>#VALUE!</v>
      </c>
      <c r="X4" s="149">
        <f>Monster_Materials[[#This Row],[Need3]]-Monster_Materials[[#This Row],[Acquired3]]</f>
        <v>-1910</v>
      </c>
    </row>
    <row r="5" spans="1:24" ht="30" customHeight="1" x14ac:dyDescent="0.25">
      <c r="A5" s="144">
        <f>SUBTOTAL(3,$B$4:Monster_Materials[[#This Row],[Link to Interactive Map]])</f>
        <v>2</v>
      </c>
      <c r="B5" s="176" t="s">
        <v>126</v>
      </c>
      <c r="C5" s="36" t="s">
        <v>151</v>
      </c>
      <c r="D5" s="36" t="s">
        <v>139</v>
      </c>
      <c r="E5" s="36" t="s">
        <v>127</v>
      </c>
      <c r="F5" s="165">
        <v>1.01</v>
      </c>
      <c r="G5" s="183" t="e" vm="302">
        <f>IFERROR(INDEX(MonsterMaterialsImg[3*Icon], MATCH(Monster_Materials[[#This Row],[HelperName3*]], MonsterMaterialsImg[3*Name], 0)), "")</f>
        <v>#VALUE!</v>
      </c>
      <c r="H5" s="36">
        <f>(SUMIF(MonsterMaterials[Material Type],Monster_Materials[[#This Row],[3* Mats]],MonsterMaterials[3* (Asc)]))+(SUMIF(MonsterMaterials[Material Type],Monster_Materials[[#This Row],[3* Mats]],MonsterMaterials[3* (Tal)]))</f>
        <v>279</v>
      </c>
      <c r="I5" s="145" t="e" vm="735">
        <f>IFERROR(INDEX(MonsterMaterialsImg[2*Icon], MATCH(Monster_Materials[[#This Row],[HelperName2*]], MonsterMaterialsImg[2*Name], 0)), "")</f>
        <v>#VALUE!</v>
      </c>
      <c r="J5" s="36">
        <f>(SUMIF(MonsterMaterials[Material Type],Monster_Materials[[#This Row],[3* Mats]],MonsterMaterials[2* (Asc)]))+(SUMIF(MonsterMaterials[Material Type],Monster_Materials[[#This Row],[3* Mats]],MonsterMaterials[2* (Tal)]))</f>
        <v>276</v>
      </c>
      <c r="K5" s="145" t="e" vm="736">
        <f>IFERROR(INDEX(MonsterMaterialsImg[1*Icon], MATCH(Monster_Materials[[#This Row],[HelperName1*]], MonsterMaterialsImg[1*Name], 0)), "")</f>
        <v>#VALUE!</v>
      </c>
      <c r="L5" s="149">
        <f>(SUMIF(MonsterMaterials[Material Type],Monster_Materials[[#This Row],[3* Mats]],MonsterMaterials[1* (Asc)]))+(SUMIF(MonsterMaterials[Material Type],Monster_Materials[[#This Row],[3* Mats]],MonsterMaterials[1* (Tal)]))</f>
        <v>57</v>
      </c>
      <c r="M5" s="183" t="e" vm="302">
        <f>IFERROR(INDEX(MonsterMaterialsImg[3*Icon], MATCH(Monster_Materials[[#This Row],[HelperName3*]], MonsterMaterialsImg[3*Name], 0)), "")</f>
        <v>#VALUE!</v>
      </c>
      <c r="N5" s="36">
        <f>IFERROR(INDEX(MonsterMaterialsInv[3* Quantity], MATCH(Monster_Materials[[#This Row],[3* Mats2]], MonsterMaterialsInv[3* Icon], 0)), "")</f>
        <v>29</v>
      </c>
      <c r="O5" s="145" t="e" vm="735">
        <f>IFERROR(INDEX(MonsterMaterialsImg[2*Icon], MATCH(Monster_Materials[[#This Row],[HelperName2*]], MonsterMaterialsImg[2*Name], 0)), "")</f>
        <v>#VALUE!</v>
      </c>
      <c r="P5" s="36">
        <f>IFERROR(INDEX(MonsterMaterialsInv[2* Quantity], MATCH(Monster_Materials[[#This Row],[2* Mats2]], MonsterMaterialsInv[2* Icon], 0)), "")</f>
        <v>175</v>
      </c>
      <c r="Q5" s="145" t="e" vm="736">
        <f>IFERROR(INDEX(MonsterMaterialsImg[1*Icon], MATCH(Monster_Materials[[#This Row],[HelperName1*]], MonsterMaterialsImg[1*Name], 0)), "")</f>
        <v>#VALUE!</v>
      </c>
      <c r="R5" s="149">
        <f>IFERROR(INDEX(MonsterMaterialsInv[1* Quantity], MATCH(Monster_Materials[[#This Row],[1* Mats2]], MonsterMaterialsInv[1* Icon], 0)), "")</f>
        <v>1564</v>
      </c>
      <c r="S5" s="183" t="e" vm="302">
        <f>IFERROR(INDEX(MonsterMaterialsImg[3*Icon], MATCH(Monster_Materials[[#This Row],[HelperName3*]], MonsterMaterialsImg[3*Name], 0)), "")</f>
        <v>#VALUE!</v>
      </c>
      <c r="T5" s="36">
        <f>Monster_Materials[[#This Row],[Need1]]-Monster_Materials[[#This Row],[Acquired1]]</f>
        <v>250</v>
      </c>
      <c r="U5" s="145" t="e" vm="735">
        <f>IFERROR(INDEX(MonsterMaterialsImg[2*Icon], MATCH(Monster_Materials[[#This Row],[HelperName2*]], MonsterMaterialsImg[2*Name], 0)), "")</f>
        <v>#VALUE!</v>
      </c>
      <c r="V5" s="36">
        <f>Monster_Materials[[#This Row],[Need2]]-Monster_Materials[[#This Row],[Acquired2]]</f>
        <v>101</v>
      </c>
      <c r="W5" s="145" t="e" vm="736">
        <f>IFERROR(INDEX(MonsterMaterialsImg[1*Icon], MATCH(Monster_Materials[[#This Row],[HelperName1*]], MonsterMaterialsImg[1*Name], 0)), "")</f>
        <v>#VALUE!</v>
      </c>
      <c r="X5" s="149">
        <f>Monster_Materials[[#This Row],[Need3]]-Monster_Materials[[#This Row],[Acquired3]]</f>
        <v>-1507</v>
      </c>
    </row>
    <row r="6" spans="1:24" ht="30" customHeight="1" x14ac:dyDescent="0.25">
      <c r="A6" s="144">
        <f>SUBTOTAL(3,$B$4:Monster_Materials[[#This Row],[Link to Interactive Map]])</f>
        <v>3</v>
      </c>
      <c r="B6" s="176" t="s">
        <v>163</v>
      </c>
      <c r="C6" s="36" t="s">
        <v>184</v>
      </c>
      <c r="D6" s="36" t="s">
        <v>175</v>
      </c>
      <c r="E6" s="36" t="s">
        <v>164</v>
      </c>
      <c r="F6" s="165">
        <v>1.02</v>
      </c>
      <c r="G6" s="183" t="e" vm="10">
        <f>IFERROR(INDEX(MonsterMaterialsImg[3*Icon], MATCH(Monster_Materials[[#This Row],[HelperName3*]], MonsterMaterialsImg[3*Name], 0)), "")</f>
        <v>#VALUE!</v>
      </c>
      <c r="H6" s="36">
        <f>(SUMIF(MonsterMaterials[Material Type],Monster_Materials[[#This Row],[3* Mats]],MonsterMaterials[3* (Asc)]))+(SUMIF(MonsterMaterials[Material Type],Monster_Materials[[#This Row],[3* Mats]],MonsterMaterials[3* (Tal)]))</f>
        <v>234</v>
      </c>
      <c r="I6" s="145" t="e" vm="729">
        <f>IFERROR(INDEX(MonsterMaterialsImg[2*Icon], MATCH(Monster_Materials[[#This Row],[HelperName2*]], MonsterMaterialsImg[2*Name], 0)), "")</f>
        <v>#VALUE!</v>
      </c>
      <c r="J6" s="36">
        <f>(SUMIF(MonsterMaterials[Material Type],Monster_Materials[[#This Row],[3* Mats]],MonsterMaterials[2* (Asc)]))+(SUMIF(MonsterMaterials[Material Type],Monster_Materials[[#This Row],[3* Mats]],MonsterMaterials[2* (Tal)]))</f>
        <v>146</v>
      </c>
      <c r="K6" s="145" t="e" vm="730">
        <f>IFERROR(INDEX(MonsterMaterialsImg[1*Icon], MATCH(Monster_Materials[[#This Row],[HelperName1*]], MonsterMaterialsImg[1*Name], 0)), "")</f>
        <v>#VALUE!</v>
      </c>
      <c r="L6" s="149">
        <f>(SUMIF(MonsterMaterials[Material Type],Monster_Materials[[#This Row],[3* Mats]],MonsterMaterials[1* (Asc)]))+(SUMIF(MonsterMaterials[Material Type],Monster_Materials[[#This Row],[3* Mats]],MonsterMaterials[1* (Tal)]))</f>
        <v>30</v>
      </c>
      <c r="M6" s="183" t="e" vm="10">
        <f>IFERROR(INDEX(MonsterMaterialsImg[3*Icon], MATCH(Monster_Materials[[#This Row],[HelperName3*]], MonsterMaterialsImg[3*Name], 0)), "")</f>
        <v>#VALUE!</v>
      </c>
      <c r="N6" s="36">
        <f>IFERROR(INDEX(MonsterMaterialsInv[3* Quantity], MATCH(Monster_Materials[[#This Row],[3* Mats2]], MonsterMaterialsInv[3* Icon], 0)), "")</f>
        <v>8</v>
      </c>
      <c r="O6" s="145" t="e" vm="729">
        <f>IFERROR(INDEX(MonsterMaterialsImg[2*Icon], MATCH(Monster_Materials[[#This Row],[HelperName2*]], MonsterMaterialsImg[2*Name], 0)), "")</f>
        <v>#VALUE!</v>
      </c>
      <c r="P6" s="36">
        <f>IFERROR(INDEX(MonsterMaterialsInv[2* Quantity], MATCH(Monster_Materials[[#This Row],[2* Mats2]], MonsterMaterialsInv[2* Icon], 0)), "")</f>
        <v>55</v>
      </c>
      <c r="Q6" s="145" t="e" vm="730">
        <f>IFERROR(INDEX(MonsterMaterialsImg[1*Icon], MATCH(Monster_Materials[[#This Row],[HelperName1*]], MonsterMaterialsImg[1*Name], 0)), "")</f>
        <v>#VALUE!</v>
      </c>
      <c r="R6" s="149">
        <f>IFERROR(INDEX(MonsterMaterialsInv[1* Quantity], MATCH(Monster_Materials[[#This Row],[1* Mats2]], MonsterMaterialsInv[1* Icon], 0)), "")</f>
        <v>2035</v>
      </c>
      <c r="S6" s="183" t="e" vm="10">
        <f>IFERROR(INDEX(MonsterMaterialsImg[3*Icon], MATCH(Monster_Materials[[#This Row],[HelperName3*]], MonsterMaterialsImg[3*Name], 0)), "")</f>
        <v>#VALUE!</v>
      </c>
      <c r="T6" s="36">
        <f>Monster_Materials[[#This Row],[Need1]]-Monster_Materials[[#This Row],[Acquired1]]</f>
        <v>226</v>
      </c>
      <c r="U6" s="145" t="e" vm="729">
        <f>IFERROR(INDEX(MonsterMaterialsImg[2*Icon], MATCH(Monster_Materials[[#This Row],[HelperName2*]], MonsterMaterialsImg[2*Name], 0)), "")</f>
        <v>#VALUE!</v>
      </c>
      <c r="V6" s="36">
        <f>Monster_Materials[[#This Row],[Need2]]-Monster_Materials[[#This Row],[Acquired2]]</f>
        <v>91</v>
      </c>
      <c r="W6" s="145" t="e" vm="730">
        <f>IFERROR(INDEX(MonsterMaterialsImg[1*Icon], MATCH(Monster_Materials[[#This Row],[HelperName1*]], MonsterMaterialsImg[1*Name], 0)), "")</f>
        <v>#VALUE!</v>
      </c>
      <c r="X6" s="149">
        <f>Monster_Materials[[#This Row],[Need3]]-Monster_Materials[[#This Row],[Acquired3]]</f>
        <v>-2005</v>
      </c>
    </row>
    <row r="7" spans="1:24" ht="30" customHeight="1" x14ac:dyDescent="0.25">
      <c r="A7" s="144">
        <f>SUBTOTAL(3,$B$4:Monster_Materials[[#This Row],[Link to Interactive Map]])</f>
        <v>4</v>
      </c>
      <c r="B7" s="176" t="s">
        <v>194</v>
      </c>
      <c r="C7" s="36" t="s">
        <v>213</v>
      </c>
      <c r="D7" s="36" t="s">
        <v>204</v>
      </c>
      <c r="E7" s="36" t="s">
        <v>195</v>
      </c>
      <c r="F7" s="165">
        <v>1.03</v>
      </c>
      <c r="G7" s="183" t="e" vm="462">
        <f>IFERROR(INDEX(MonsterMaterialsImg[3*Icon], MATCH(Monster_Materials[[#This Row],[HelperName3*]], MonsterMaterialsImg[3*Name], 0)), "")</f>
        <v>#VALUE!</v>
      </c>
      <c r="H7" s="36">
        <f>(SUMIF(MonsterMaterials[Material Type],Monster_Materials[[#This Row],[3* Mats]],MonsterMaterials[3* (Asc)]))+(SUMIF(MonsterMaterials[Material Type],Monster_Materials[[#This Row],[3* Mats]],MonsterMaterials[3* (Tal)]))</f>
        <v>222</v>
      </c>
      <c r="I7" s="145" t="e" vm="719">
        <f>IFERROR(INDEX(MonsterMaterialsImg[2*Icon], MATCH(Monster_Materials[[#This Row],[HelperName2*]], MonsterMaterialsImg[2*Name], 0)), "")</f>
        <v>#VALUE!</v>
      </c>
      <c r="J7" s="36">
        <f>(SUMIF(MonsterMaterials[Material Type],Monster_Materials[[#This Row],[3* Mats]],MonsterMaterials[2* (Asc)]))+(SUMIF(MonsterMaterials[Material Type],Monster_Materials[[#This Row],[3* Mats]],MonsterMaterials[2* (Tal)]))</f>
        <v>192</v>
      </c>
      <c r="K7" s="145" t="e" vm="720">
        <f>IFERROR(INDEX(MonsterMaterialsImg[1*Icon], MATCH(Monster_Materials[[#This Row],[HelperName1*]], MonsterMaterialsImg[1*Name], 0)), "")</f>
        <v>#VALUE!</v>
      </c>
      <c r="L7" s="149">
        <f>(SUMIF(MonsterMaterials[Material Type],Monster_Materials[[#This Row],[3* Mats]],MonsterMaterials[1* (Asc)]))+(SUMIF(MonsterMaterials[Material Type],Monster_Materials[[#This Row],[3* Mats]],MonsterMaterials[1* (Tal)]))</f>
        <v>66</v>
      </c>
      <c r="M7" s="183" t="e" vm="462">
        <f>IFERROR(INDEX(MonsterMaterialsImg[3*Icon], MATCH(Monster_Materials[[#This Row],[HelperName3*]], MonsterMaterialsImg[3*Name], 0)), "")</f>
        <v>#VALUE!</v>
      </c>
      <c r="N7" s="36">
        <f>IFERROR(INDEX(MonsterMaterialsInv[3* Quantity], MATCH(Monster_Materials[[#This Row],[3* Mats2]], MonsterMaterialsInv[3* Icon], 0)), "")</f>
        <v>255</v>
      </c>
      <c r="O7" s="145" t="e" vm="719">
        <f>IFERROR(INDEX(MonsterMaterialsImg[2*Icon], MATCH(Monster_Materials[[#This Row],[HelperName2*]], MonsterMaterialsImg[2*Name], 0)), "")</f>
        <v>#VALUE!</v>
      </c>
      <c r="P7" s="36">
        <f>IFERROR(INDEX(MonsterMaterialsInv[2* Quantity], MATCH(Monster_Materials[[#This Row],[2* Mats2]], MonsterMaterialsInv[2* Icon], 0)), "")</f>
        <v>133</v>
      </c>
      <c r="Q7" s="145" t="e" vm="720">
        <f>IFERROR(INDEX(MonsterMaterialsImg[1*Icon], MATCH(Monster_Materials[[#This Row],[HelperName1*]], MonsterMaterialsImg[1*Name], 0)), "")</f>
        <v>#VALUE!</v>
      </c>
      <c r="R7" s="149">
        <f>IFERROR(INDEX(MonsterMaterialsInv[1* Quantity], MATCH(Monster_Materials[[#This Row],[1* Mats2]], MonsterMaterialsInv[1* Icon], 0)), "")</f>
        <v>235</v>
      </c>
      <c r="S7" s="183" t="e" vm="462">
        <f>IFERROR(INDEX(MonsterMaterialsImg[3*Icon], MATCH(Monster_Materials[[#This Row],[HelperName3*]], MonsterMaterialsImg[3*Name], 0)), "")</f>
        <v>#VALUE!</v>
      </c>
      <c r="T7" s="36">
        <f>Monster_Materials[[#This Row],[Need1]]-Monster_Materials[[#This Row],[Acquired1]]</f>
        <v>-33</v>
      </c>
      <c r="U7" s="145" t="e" vm="719">
        <f>IFERROR(INDEX(MonsterMaterialsImg[2*Icon], MATCH(Monster_Materials[[#This Row],[HelperName2*]], MonsterMaterialsImg[2*Name], 0)), "")</f>
        <v>#VALUE!</v>
      </c>
      <c r="V7" s="36">
        <f>Monster_Materials[[#This Row],[Need2]]-Monster_Materials[[#This Row],[Acquired2]]</f>
        <v>59</v>
      </c>
      <c r="W7" s="145" t="e" vm="720">
        <f>IFERROR(INDEX(MonsterMaterialsImg[1*Icon], MATCH(Monster_Materials[[#This Row],[HelperName1*]], MonsterMaterialsImg[1*Name], 0)), "")</f>
        <v>#VALUE!</v>
      </c>
      <c r="X7" s="149">
        <f>Monster_Materials[[#This Row],[Need3]]-Monster_Materials[[#This Row],[Acquired3]]</f>
        <v>-169</v>
      </c>
    </row>
    <row r="8" spans="1:24" ht="30" customHeight="1" x14ac:dyDescent="0.25">
      <c r="A8" s="144">
        <f>SUBTOTAL(3,$B$4:Monster_Materials[[#This Row],[Link to Interactive Map]])</f>
        <v>5</v>
      </c>
      <c r="B8" s="176" t="s">
        <v>223</v>
      </c>
      <c r="C8" s="36" t="s">
        <v>242</v>
      </c>
      <c r="D8" s="36" t="s">
        <v>233</v>
      </c>
      <c r="E8" s="36" t="s">
        <v>224</v>
      </c>
      <c r="F8" s="165">
        <v>1.04</v>
      </c>
      <c r="G8" s="183" t="e" vm="54">
        <f>IFERROR(INDEX(MonsterMaterialsImg[3*Icon], MATCH(Monster_Materials[[#This Row],[HelperName3*]], MonsterMaterialsImg[3*Name], 0)), "")</f>
        <v>#VALUE!</v>
      </c>
      <c r="H8" s="36">
        <f>(SUMIF(MonsterMaterials[Material Type],Monster_Materials[[#This Row],[3* Mats]],MonsterMaterials[3* (Asc)]))+(SUMIF(MonsterMaterials[Material Type],Monster_Materials[[#This Row],[3* Mats]],MonsterMaterials[3* (Tal)]))</f>
        <v>447</v>
      </c>
      <c r="I8" s="145" t="e" vm="741">
        <f>IFERROR(INDEX(MonsterMaterialsImg[2*Icon], MATCH(Monster_Materials[[#This Row],[HelperName2*]], MonsterMaterialsImg[2*Name], 0)), "")</f>
        <v>#VALUE!</v>
      </c>
      <c r="J8" s="36">
        <f>(SUMIF(MonsterMaterials[Material Type],Monster_Materials[[#This Row],[3* Mats]],MonsterMaterials[2* (Asc)]))+(SUMIF(MonsterMaterials[Material Type],Monster_Materials[[#This Row],[3* Mats]],MonsterMaterials[2* (Tal)]))</f>
        <v>376</v>
      </c>
      <c r="K8" s="145" t="e" vm="742">
        <f>IFERROR(INDEX(MonsterMaterialsImg[1*Icon], MATCH(Monster_Materials[[#This Row],[HelperName1*]], MonsterMaterialsImg[1*Name], 0)), "")</f>
        <v>#VALUE!</v>
      </c>
      <c r="L8" s="149">
        <f>(SUMIF(MonsterMaterials[Material Type],Monster_Materials[[#This Row],[3* Mats]],MonsterMaterials[1* (Asc)]))+(SUMIF(MonsterMaterials[Material Type],Monster_Materials[[#This Row],[3* Mats]],MonsterMaterials[1* (Tal)]))</f>
        <v>105</v>
      </c>
      <c r="M8" s="183" t="e" vm="54">
        <f>IFERROR(INDEX(MonsterMaterialsImg[3*Icon], MATCH(Monster_Materials[[#This Row],[HelperName3*]], MonsterMaterialsImg[3*Name], 0)), "")</f>
        <v>#VALUE!</v>
      </c>
      <c r="N8" s="36">
        <f>IFERROR(INDEX(MonsterMaterialsInv[3* Quantity], MATCH(Monster_Materials[[#This Row],[3* Mats2]], MonsterMaterialsInv[3* Icon], 0)), "")</f>
        <v>76</v>
      </c>
      <c r="O8" s="145" t="e" vm="741">
        <f>IFERROR(INDEX(MonsterMaterialsImg[2*Icon], MATCH(Monster_Materials[[#This Row],[HelperName2*]], MonsterMaterialsImg[2*Name], 0)), "")</f>
        <v>#VALUE!</v>
      </c>
      <c r="P8" s="36">
        <f>IFERROR(INDEX(MonsterMaterialsInv[2* Quantity], MATCH(Monster_Materials[[#This Row],[2* Mats2]], MonsterMaterialsInv[2* Icon], 0)), "")</f>
        <v>359</v>
      </c>
      <c r="Q8" s="145" t="e" vm="742">
        <f>IFERROR(INDEX(MonsterMaterialsImg[1*Icon], MATCH(Monster_Materials[[#This Row],[HelperName1*]], MonsterMaterialsImg[1*Name], 0)), "")</f>
        <v>#VALUE!</v>
      </c>
      <c r="R8" s="149">
        <f>IFERROR(INDEX(MonsterMaterialsInv[1* Quantity], MATCH(Monster_Materials[[#This Row],[1* Mats2]], MonsterMaterialsInv[1* Icon], 0)), "")</f>
        <v>2846</v>
      </c>
      <c r="S8" s="183" t="e" vm="54">
        <f>IFERROR(INDEX(MonsterMaterialsImg[3*Icon], MATCH(Monster_Materials[[#This Row],[HelperName3*]], MonsterMaterialsImg[3*Name], 0)), "")</f>
        <v>#VALUE!</v>
      </c>
      <c r="T8" s="36">
        <f>Monster_Materials[[#This Row],[Need1]]-Monster_Materials[[#This Row],[Acquired1]]</f>
        <v>371</v>
      </c>
      <c r="U8" s="145" t="e" vm="741">
        <f>IFERROR(INDEX(MonsterMaterialsImg[2*Icon], MATCH(Monster_Materials[[#This Row],[HelperName2*]], MonsterMaterialsImg[2*Name], 0)), "")</f>
        <v>#VALUE!</v>
      </c>
      <c r="V8" s="36">
        <f>Monster_Materials[[#This Row],[Need2]]-Monster_Materials[[#This Row],[Acquired2]]</f>
        <v>17</v>
      </c>
      <c r="W8" s="145" t="e" vm="742">
        <f>IFERROR(INDEX(MonsterMaterialsImg[1*Icon], MATCH(Monster_Materials[[#This Row],[HelperName1*]], MonsterMaterialsImg[1*Name], 0)), "")</f>
        <v>#VALUE!</v>
      </c>
      <c r="X8" s="149">
        <f>Monster_Materials[[#This Row],[Need3]]-Monster_Materials[[#This Row],[Acquired3]]</f>
        <v>-2741</v>
      </c>
    </row>
    <row r="9" spans="1:24" ht="30" customHeight="1" x14ac:dyDescent="0.25">
      <c r="A9" s="144">
        <f>SUBTOTAL(3,$B$4:Monster_Materials[[#This Row],[Link to Interactive Map]])</f>
        <v>6</v>
      </c>
      <c r="B9" s="176" t="s">
        <v>252</v>
      </c>
      <c r="C9" s="36" t="s">
        <v>271</v>
      </c>
      <c r="D9" s="36" t="s">
        <v>262</v>
      </c>
      <c r="E9" s="36" t="s">
        <v>253</v>
      </c>
      <c r="F9" s="145">
        <v>1.0409999999999999</v>
      </c>
      <c r="G9" s="183" t="e" vm="435">
        <f>IFERROR(INDEX(MonsterMaterialsImg[3*Icon], MATCH(Monster_Materials[[#This Row],[HelperName3*]], MonsterMaterialsImg[3*Name], 0)), "")</f>
        <v>#VALUE!</v>
      </c>
      <c r="H9" s="36">
        <f>(SUMIF(MonsterMaterials[Material Type],Monster_Materials[[#This Row],[3* Mats]],MonsterMaterials[3* (Asc)]))+(SUMIF(MonsterMaterials[Material Type],Monster_Materials[[#This Row],[3* Mats]],MonsterMaterials[3* (Tal)]))</f>
        <v>249</v>
      </c>
      <c r="I9" s="145" t="e" vm="738">
        <f>IFERROR(INDEX(MonsterMaterialsImg[2*Icon], MATCH(Monster_Materials[[#This Row],[HelperName2*]], MonsterMaterialsImg[2*Name], 0)), "")</f>
        <v>#VALUE!</v>
      </c>
      <c r="J9" s="36">
        <f>(SUMIF(MonsterMaterials[Material Type],Monster_Materials[[#This Row],[3* Mats]],MonsterMaterials[2* (Asc)]))+(SUMIF(MonsterMaterials[Material Type],Monster_Materials[[#This Row],[3* Mats]],MonsterMaterials[2* (Tal)]))</f>
        <v>210</v>
      </c>
      <c r="K9" s="145" t="e" vm="739">
        <f>IFERROR(INDEX(MonsterMaterialsImg[1*Icon], MATCH(Monster_Materials[[#This Row],[HelperName1*]], MonsterMaterialsImg[1*Name], 0)), "")</f>
        <v>#VALUE!</v>
      </c>
      <c r="L9" s="149">
        <f>(SUMIF(MonsterMaterials[Material Type],Monster_Materials[[#This Row],[3* Mats]],MonsterMaterials[1* (Asc)]))+(SUMIF(MonsterMaterials[Material Type],Monster_Materials[[#This Row],[3* Mats]],MonsterMaterials[1* (Tal)]))</f>
        <v>66</v>
      </c>
      <c r="M9" s="183" t="e" vm="435">
        <f>IFERROR(INDEX(MonsterMaterialsImg[3*Icon], MATCH(Monster_Materials[[#This Row],[HelperName3*]], MonsterMaterialsImg[3*Name], 0)), "")</f>
        <v>#VALUE!</v>
      </c>
      <c r="N9" s="36">
        <f>IFERROR(INDEX(MonsterMaterialsInv[3* Quantity], MATCH(Monster_Materials[[#This Row],[3* Mats2]], MonsterMaterialsInv[3* Icon], 0)), "")</f>
        <v>234</v>
      </c>
      <c r="O9" s="145" t="e" vm="738">
        <f>IFERROR(INDEX(MonsterMaterialsImg[2*Icon], MATCH(Monster_Materials[[#This Row],[HelperName2*]], MonsterMaterialsImg[2*Name], 0)), "")</f>
        <v>#VALUE!</v>
      </c>
      <c r="P9" s="36">
        <f>IFERROR(INDEX(MonsterMaterialsInv[2* Quantity], MATCH(Monster_Materials[[#This Row],[2* Mats2]], MonsterMaterialsInv[2* Icon], 0)), "")</f>
        <v>273</v>
      </c>
      <c r="Q9" s="145" t="e" vm="739">
        <f>IFERROR(INDEX(MonsterMaterialsImg[1*Icon], MATCH(Monster_Materials[[#This Row],[HelperName1*]], MonsterMaterialsImg[1*Name], 0)), "")</f>
        <v>#VALUE!</v>
      </c>
      <c r="R9" s="149">
        <f>IFERROR(INDEX(MonsterMaterialsInv[1* Quantity], MATCH(Monster_Materials[[#This Row],[1* Mats2]], MonsterMaterialsInv[1* Icon], 0)), "")</f>
        <v>1869</v>
      </c>
      <c r="S9" s="183" t="e" vm="435">
        <f>IFERROR(INDEX(MonsterMaterialsImg[3*Icon], MATCH(Monster_Materials[[#This Row],[HelperName3*]], MonsterMaterialsImg[3*Name], 0)), "")</f>
        <v>#VALUE!</v>
      </c>
      <c r="T9" s="36">
        <f>Monster_Materials[[#This Row],[Need1]]-Monster_Materials[[#This Row],[Acquired1]]</f>
        <v>15</v>
      </c>
      <c r="U9" s="145" t="e" vm="738">
        <f>IFERROR(INDEX(MonsterMaterialsImg[2*Icon], MATCH(Monster_Materials[[#This Row],[HelperName2*]], MonsterMaterialsImg[2*Name], 0)), "")</f>
        <v>#VALUE!</v>
      </c>
      <c r="V9" s="36">
        <f>Monster_Materials[[#This Row],[Need2]]-Monster_Materials[[#This Row],[Acquired2]]</f>
        <v>-63</v>
      </c>
      <c r="W9" s="145" t="e" vm="739">
        <f>IFERROR(INDEX(MonsterMaterialsImg[1*Icon], MATCH(Monster_Materials[[#This Row],[HelperName1*]], MonsterMaterialsImg[1*Name], 0)), "")</f>
        <v>#VALUE!</v>
      </c>
      <c r="X9" s="149">
        <f>Monster_Materials[[#This Row],[Need3]]-Monster_Materials[[#This Row],[Acquired3]]</f>
        <v>-1803</v>
      </c>
    </row>
    <row r="10" spans="1:24" ht="30" customHeight="1" x14ac:dyDescent="0.25">
      <c r="A10" s="144">
        <f>SUBTOTAL(3,$B$4:Monster_Materials[[#This Row],[Link to Interactive Map]])</f>
        <v>7</v>
      </c>
      <c r="B10" s="176" t="s">
        <v>280</v>
      </c>
      <c r="C10" s="36" t="s">
        <v>299</v>
      </c>
      <c r="D10" s="36" t="s">
        <v>290</v>
      </c>
      <c r="E10" s="36" t="s">
        <v>281</v>
      </c>
      <c r="F10" s="145">
        <v>1.042</v>
      </c>
      <c r="G10" s="183" t="e" vm="115">
        <f>IFERROR(INDEX(MonsterMaterialsImg[3*Icon], MATCH(Monster_Materials[[#This Row],[HelperName3*]], MonsterMaterialsImg[3*Name], 0)), "")</f>
        <v>#VALUE!</v>
      </c>
      <c r="H10" s="36">
        <f>(SUMIF(MonsterMaterials[Material Type],Monster_Materials[[#This Row],[3* Mats]],MonsterMaterials[3* (Asc)]))+(SUMIF(MonsterMaterials[Material Type],Monster_Materials[[#This Row],[3* Mats]],MonsterMaterials[3* (Tal)]))</f>
        <v>185</v>
      </c>
      <c r="I10" s="145" t="e" vm="745">
        <f>IFERROR(INDEX(MonsterMaterialsImg[2*Icon], MATCH(Monster_Materials[[#This Row],[HelperName2*]], MonsterMaterialsImg[2*Name], 0)), "")</f>
        <v>#VALUE!</v>
      </c>
      <c r="J10" s="36">
        <f>(SUMIF(MonsterMaterials[Material Type],Monster_Materials[[#This Row],[3* Mats]],MonsterMaterials[2* (Asc)]))+(SUMIF(MonsterMaterials[Material Type],Monster_Materials[[#This Row],[3* Mats]],MonsterMaterials[2* (Tal)]))</f>
        <v>105</v>
      </c>
      <c r="K10" s="145" t="e" vm="746">
        <f>IFERROR(INDEX(MonsterMaterialsImg[1*Icon], MATCH(Monster_Materials[[#This Row],[HelperName1*]], MonsterMaterialsImg[1*Name], 0)), "")</f>
        <v>#VALUE!</v>
      </c>
      <c r="L10" s="149">
        <f>(SUMIF(MonsterMaterials[Material Type],Monster_Materials[[#This Row],[3* Mats]],MonsterMaterials[1* (Asc)]))+(SUMIF(MonsterMaterials[Material Type],Monster_Materials[[#This Row],[3* Mats]],MonsterMaterials[1* (Tal)]))</f>
        <v>33</v>
      </c>
      <c r="M10" s="183" t="e" vm="115">
        <f>IFERROR(INDEX(MonsterMaterialsImg[3*Icon], MATCH(Monster_Materials[[#This Row],[HelperName3*]], MonsterMaterialsImg[3*Name], 0)), "")</f>
        <v>#VALUE!</v>
      </c>
      <c r="N10" s="36">
        <f>IFERROR(INDEX(MonsterMaterialsInv[3* Quantity], MATCH(Monster_Materials[[#This Row],[3* Mats2]], MonsterMaterialsInv[3* Icon], 0)), "")</f>
        <v>37</v>
      </c>
      <c r="O10" s="145" t="e" vm="745">
        <f>IFERROR(INDEX(MonsterMaterialsImg[2*Icon], MATCH(Monster_Materials[[#This Row],[HelperName2*]], MonsterMaterialsImg[2*Name], 0)), "")</f>
        <v>#VALUE!</v>
      </c>
      <c r="P10" s="36">
        <f>IFERROR(INDEX(MonsterMaterialsInv[2* Quantity], MATCH(Monster_Materials[[#This Row],[2* Mats2]], MonsterMaterialsInv[2* Icon], 0)), "")</f>
        <v>103</v>
      </c>
      <c r="Q10" s="145" t="e" vm="746">
        <f>IFERROR(INDEX(MonsterMaterialsImg[1*Icon], MATCH(Monster_Materials[[#This Row],[HelperName1*]], MonsterMaterialsImg[1*Name], 0)), "")</f>
        <v>#VALUE!</v>
      </c>
      <c r="R10" s="149">
        <f>IFERROR(INDEX(MonsterMaterialsInv[1* Quantity], MATCH(Monster_Materials[[#This Row],[1* Mats2]], MonsterMaterialsInv[1* Icon], 0)), "")</f>
        <v>630</v>
      </c>
      <c r="S10" s="183" t="e" vm="115">
        <f>IFERROR(INDEX(MonsterMaterialsImg[3*Icon], MATCH(Monster_Materials[[#This Row],[HelperName3*]], MonsterMaterialsImg[3*Name], 0)), "")</f>
        <v>#VALUE!</v>
      </c>
      <c r="T10" s="36">
        <f>Monster_Materials[[#This Row],[Need1]]-Monster_Materials[[#This Row],[Acquired1]]</f>
        <v>148</v>
      </c>
      <c r="U10" s="145" t="e" vm="745">
        <f>IFERROR(INDEX(MonsterMaterialsImg[2*Icon], MATCH(Monster_Materials[[#This Row],[HelperName2*]], MonsterMaterialsImg[2*Name], 0)), "")</f>
        <v>#VALUE!</v>
      </c>
      <c r="V10" s="36">
        <f>Monster_Materials[[#This Row],[Need2]]-Monster_Materials[[#This Row],[Acquired2]]</f>
        <v>2</v>
      </c>
      <c r="W10" s="145" t="e" vm="746">
        <f>IFERROR(INDEX(MonsterMaterialsImg[1*Icon], MATCH(Monster_Materials[[#This Row],[HelperName1*]], MonsterMaterialsImg[1*Name], 0)), "")</f>
        <v>#VALUE!</v>
      </c>
      <c r="X10" s="149">
        <f>Monster_Materials[[#This Row],[Need3]]-Monster_Materials[[#This Row],[Acquired3]]</f>
        <v>-597</v>
      </c>
    </row>
    <row r="11" spans="1:24" ht="30" customHeight="1" x14ac:dyDescent="0.25">
      <c r="A11" s="144">
        <f>SUBTOTAL(3,$B$4:Monster_Materials[[#This Row],[Link to Interactive Map]])</f>
        <v>8</v>
      </c>
      <c r="B11" s="176" t="s">
        <v>309</v>
      </c>
      <c r="C11" s="36" t="s">
        <v>327</v>
      </c>
      <c r="D11" s="36" t="s">
        <v>319</v>
      </c>
      <c r="E11" s="36" t="s">
        <v>310</v>
      </c>
      <c r="F11" s="145">
        <v>2</v>
      </c>
      <c r="G11" s="183" t="e" vm="184">
        <f>IFERROR(INDEX(MonsterMaterialsImg[3*Icon], MATCH(Monster_Materials[[#This Row],[HelperName3*]], MonsterMaterialsImg[3*Name], 0)), "")</f>
        <v>#VALUE!</v>
      </c>
      <c r="H11" s="36">
        <f>(SUMIF(MonsterMaterials[Material Type],Monster_Materials[[#This Row],[3* Mats]],MonsterMaterials[3* (Asc)]))+(SUMIF(MonsterMaterials[Material Type],Monster_Materials[[#This Row],[3* Mats]],MonsterMaterials[3* (Tal)]))</f>
        <v>38</v>
      </c>
      <c r="I11" s="145" t="e" vm="748">
        <f>IFERROR(INDEX(MonsterMaterialsImg[2*Icon], MATCH(Monster_Materials[[#This Row],[HelperName2*]], MonsterMaterialsImg[2*Name], 0)), "")</f>
        <v>#VALUE!</v>
      </c>
      <c r="J11" s="36">
        <f>(SUMIF(MonsterMaterials[Material Type],Monster_Materials[[#This Row],[3* Mats]],MonsterMaterials[2* (Asc)]))+(SUMIF(MonsterMaterials[Material Type],Monster_Materials[[#This Row],[3* Mats]],MonsterMaterials[2* (Tal)]))</f>
        <v>30</v>
      </c>
      <c r="K11" s="145" t="e" vm="749">
        <f>IFERROR(INDEX(MonsterMaterialsImg[1*Icon], MATCH(Monster_Materials[[#This Row],[HelperName1*]], MonsterMaterialsImg[1*Name], 0)), "")</f>
        <v>#VALUE!</v>
      </c>
      <c r="L11" s="149">
        <f>(SUMIF(MonsterMaterials[Material Type],Monster_Materials[[#This Row],[3* Mats]],MonsterMaterials[1* (Asc)]))+(SUMIF(MonsterMaterials[Material Type],Monster_Materials[[#This Row],[3* Mats]],MonsterMaterials[1* (Tal)]))</f>
        <v>0</v>
      </c>
      <c r="M11" s="183" t="e" vm="184">
        <f>IFERROR(INDEX(MonsterMaterialsImg[3*Icon], MATCH(Monster_Materials[[#This Row],[HelperName3*]], MonsterMaterialsImg[3*Name], 0)), "")</f>
        <v>#VALUE!</v>
      </c>
      <c r="N11" s="36">
        <f>IFERROR(INDEX(MonsterMaterialsInv[3* Quantity], MATCH(Monster_Materials[[#This Row],[3* Mats2]], MonsterMaterialsInv[3* Icon], 0)), "")</f>
        <v>14</v>
      </c>
      <c r="O11" s="145" t="e" vm="748">
        <f>IFERROR(INDEX(MonsterMaterialsImg[2*Icon], MATCH(Monster_Materials[[#This Row],[HelperName2*]], MonsterMaterialsImg[2*Name], 0)), "")</f>
        <v>#VALUE!</v>
      </c>
      <c r="P11" s="36">
        <f>IFERROR(INDEX(MonsterMaterialsInv[2* Quantity], MATCH(Monster_Materials[[#This Row],[2* Mats2]], MonsterMaterialsInv[2* Icon], 0)), "")</f>
        <v>23</v>
      </c>
      <c r="Q11" s="145" t="e" vm="749">
        <f>IFERROR(INDEX(MonsterMaterialsImg[1*Icon], MATCH(Monster_Materials[[#This Row],[HelperName1*]], MonsterMaterialsImg[1*Name], 0)), "")</f>
        <v>#VALUE!</v>
      </c>
      <c r="R11" s="149">
        <f>IFERROR(INDEX(MonsterMaterialsInv[1* Quantity], MATCH(Monster_Materials[[#This Row],[1* Mats2]], MonsterMaterialsInv[1* Icon], 0)), "")</f>
        <v>18</v>
      </c>
      <c r="S11" s="183" t="e" vm="184">
        <f>IFERROR(INDEX(MonsterMaterialsImg[3*Icon], MATCH(Monster_Materials[[#This Row],[HelperName3*]], MonsterMaterialsImg[3*Name], 0)), "")</f>
        <v>#VALUE!</v>
      </c>
      <c r="T11" s="36">
        <f>Monster_Materials[[#This Row],[Need1]]-Monster_Materials[[#This Row],[Acquired1]]</f>
        <v>24</v>
      </c>
      <c r="U11" s="145" t="e" vm="748">
        <f>IFERROR(INDEX(MonsterMaterialsImg[2*Icon], MATCH(Monster_Materials[[#This Row],[HelperName2*]], MonsterMaterialsImg[2*Name], 0)), "")</f>
        <v>#VALUE!</v>
      </c>
      <c r="V11" s="36">
        <f>Monster_Materials[[#This Row],[Need2]]-Monster_Materials[[#This Row],[Acquired2]]</f>
        <v>7</v>
      </c>
      <c r="W11" s="145" t="e" vm="749">
        <f>IFERROR(INDEX(MonsterMaterialsImg[1*Icon], MATCH(Monster_Materials[[#This Row],[HelperName1*]], MonsterMaterialsImg[1*Name], 0)), "")</f>
        <v>#VALUE!</v>
      </c>
      <c r="X11" s="149">
        <f>Monster_Materials[[#This Row],[Need3]]-Monster_Materials[[#This Row],[Acquired3]]</f>
        <v>-18</v>
      </c>
    </row>
    <row r="12" spans="1:24" ht="30" customHeight="1" x14ac:dyDescent="0.25">
      <c r="A12" s="144">
        <f>SUBTOTAL(3,$B$4:Monster_Materials[[#This Row],[Link to Interactive Map]])</f>
        <v>9</v>
      </c>
      <c r="B12" s="176" t="s">
        <v>336</v>
      </c>
      <c r="C12" s="36" t="s">
        <v>355</v>
      </c>
      <c r="D12" s="36" t="s">
        <v>346</v>
      </c>
      <c r="E12" s="36" t="s">
        <v>337</v>
      </c>
      <c r="F12" s="145">
        <v>2.1</v>
      </c>
      <c r="G12" s="183" t="e" vm="75">
        <f>IFERROR(INDEX(MonsterMaterialsImg[3*Icon], MATCH(Monster_Materials[[#This Row],[HelperName3*]], MonsterMaterialsImg[3*Name], 0)), "")</f>
        <v>#VALUE!</v>
      </c>
      <c r="H12" s="36">
        <f>(SUMIF(MonsterMaterials[Material Type],Monster_Materials[[#This Row],[3* Mats]],MonsterMaterials[3* (Asc)]))+(SUMIF(MonsterMaterials[Material Type],Monster_Materials[[#This Row],[3* Mats]],MonsterMaterials[3* (Tal)]))</f>
        <v>241</v>
      </c>
      <c r="I12" s="145" t="e" vm="752">
        <f>IFERROR(INDEX(MonsterMaterialsImg[2*Icon], MATCH(Monster_Materials[[#This Row],[HelperName2*]], MonsterMaterialsImg[2*Name], 0)), "")</f>
        <v>#VALUE!</v>
      </c>
      <c r="J12" s="36">
        <f>(SUMIF(MonsterMaterials[Material Type],Monster_Materials[[#This Row],[3* Mats]],MonsterMaterials[2* (Asc)]))+(SUMIF(MonsterMaterials[Material Type],Monster_Materials[[#This Row],[3* Mats]],MonsterMaterials[2* (Tal)]))</f>
        <v>222</v>
      </c>
      <c r="K12" s="145" t="e" vm="753">
        <f>IFERROR(INDEX(MonsterMaterialsImg[1*Icon], MATCH(Monster_Materials[[#This Row],[HelperName1*]], MonsterMaterialsImg[1*Name], 0)), "")</f>
        <v>#VALUE!</v>
      </c>
      <c r="L12" s="149">
        <f>(SUMIF(MonsterMaterials[Material Type],Monster_Materials[[#This Row],[3* Mats]],MonsterMaterials[1* (Asc)]))+(SUMIF(MonsterMaterials[Material Type],Monster_Materials[[#This Row],[3* Mats]],MonsterMaterials[1* (Tal)]))</f>
        <v>81</v>
      </c>
      <c r="M12" s="183" t="e" vm="75">
        <f>IFERROR(INDEX(MonsterMaterialsImg[3*Icon], MATCH(Monster_Materials[[#This Row],[HelperName3*]], MonsterMaterialsImg[3*Name], 0)), "")</f>
        <v>#VALUE!</v>
      </c>
      <c r="N12" s="36">
        <f>IFERROR(INDEX(MonsterMaterialsInv[3* Quantity], MATCH(Monster_Materials[[#This Row],[3* Mats2]], MonsterMaterialsInv[3* Icon], 0)), "")</f>
        <v>1</v>
      </c>
      <c r="O12" s="145" t="e" vm="752">
        <f>IFERROR(INDEX(MonsterMaterialsImg[2*Icon], MATCH(Monster_Materials[[#This Row],[HelperName2*]], MonsterMaterialsImg[2*Name], 0)), "")</f>
        <v>#VALUE!</v>
      </c>
      <c r="P12" s="36">
        <f>IFERROR(INDEX(MonsterMaterialsInv[2* Quantity], MATCH(Monster_Materials[[#This Row],[2* Mats2]], MonsterMaterialsInv[2* Icon], 0)), "")</f>
        <v>4</v>
      </c>
      <c r="Q12" s="145" t="e" vm="753">
        <f>IFERROR(INDEX(MonsterMaterialsImg[1*Icon], MATCH(Monster_Materials[[#This Row],[HelperName1*]], MonsterMaterialsImg[1*Name], 0)), "")</f>
        <v>#VALUE!</v>
      </c>
      <c r="R12" s="149">
        <f>IFERROR(INDEX(MonsterMaterialsInv[1* Quantity], MATCH(Monster_Materials[[#This Row],[1* Mats2]], MonsterMaterialsInv[1* Icon], 0)), "")</f>
        <v>45</v>
      </c>
      <c r="S12" s="183" t="e" vm="75">
        <f>IFERROR(INDEX(MonsterMaterialsImg[3*Icon], MATCH(Monster_Materials[[#This Row],[HelperName3*]], MonsterMaterialsImg[3*Name], 0)), "")</f>
        <v>#VALUE!</v>
      </c>
      <c r="T12" s="36">
        <f>Monster_Materials[[#This Row],[Need1]]-Monster_Materials[[#This Row],[Acquired1]]</f>
        <v>240</v>
      </c>
      <c r="U12" s="145" t="e" vm="752">
        <f>IFERROR(INDEX(MonsterMaterialsImg[2*Icon], MATCH(Monster_Materials[[#This Row],[HelperName2*]], MonsterMaterialsImg[2*Name], 0)), "")</f>
        <v>#VALUE!</v>
      </c>
      <c r="V12" s="36">
        <f>Monster_Materials[[#This Row],[Need2]]-Monster_Materials[[#This Row],[Acquired2]]</f>
        <v>218</v>
      </c>
      <c r="W12" s="145" t="e" vm="753">
        <f>IFERROR(INDEX(MonsterMaterialsImg[1*Icon], MATCH(Monster_Materials[[#This Row],[HelperName1*]], MonsterMaterialsImg[1*Name], 0)), "")</f>
        <v>#VALUE!</v>
      </c>
      <c r="X12" s="149">
        <f>Monster_Materials[[#This Row],[Need3]]-Monster_Materials[[#This Row],[Acquired3]]</f>
        <v>36</v>
      </c>
    </row>
    <row r="13" spans="1:24" ht="30" customHeight="1" x14ac:dyDescent="0.25">
      <c r="A13" s="144">
        <f>SUBTOTAL(3,$B$4:Monster_Materials[[#This Row],[Link to Interactive Map]])</f>
        <v>10</v>
      </c>
      <c r="B13" s="176" t="s">
        <v>365</v>
      </c>
      <c r="C13" s="36" t="s">
        <v>383</v>
      </c>
      <c r="D13" s="36" t="s">
        <v>375</v>
      </c>
      <c r="E13" s="36" t="s">
        <v>366</v>
      </c>
      <c r="F13" s="145">
        <v>3</v>
      </c>
      <c r="G13" s="183" t="e" vm="272">
        <f>IFERROR(INDEX(MonsterMaterialsImg[3*Icon], MATCH(Monster_Materials[[#This Row],[HelperName3*]], MonsterMaterialsImg[3*Name], 0)), "")</f>
        <v>#VALUE!</v>
      </c>
      <c r="H13" s="36">
        <f>(SUMIF(MonsterMaterials[Material Type],Monster_Materials[[#This Row],[3* Mats]],MonsterMaterials[3* (Asc)]))+(SUMIF(MonsterMaterials[Material Type],Monster_Materials[[#This Row],[3* Mats]],MonsterMaterials[3* (Tal)]))</f>
        <v>186</v>
      </c>
      <c r="I13" s="145" t="e" vm="755">
        <f>IFERROR(INDEX(MonsterMaterialsImg[2*Icon], MATCH(Monster_Materials[[#This Row],[HelperName2*]], MonsterMaterialsImg[2*Name], 0)), "")</f>
        <v>#VALUE!</v>
      </c>
      <c r="J13" s="36">
        <f>(SUMIF(MonsterMaterials[Material Type],Monster_Materials[[#This Row],[3* Mats]],MonsterMaterials[2* (Asc)]))+(SUMIF(MonsterMaterials[Material Type],Monster_Materials[[#This Row],[3* Mats]],MonsterMaterials[2* (Tal)]))</f>
        <v>192</v>
      </c>
      <c r="K13" s="145" t="e" vm="756">
        <f>IFERROR(INDEX(MonsterMaterialsImg[1*Icon], MATCH(Monster_Materials[[#This Row],[HelperName1*]], MonsterMaterialsImg[1*Name], 0)), "")</f>
        <v>#VALUE!</v>
      </c>
      <c r="L13" s="149">
        <f>(SUMIF(MonsterMaterials[Material Type],Monster_Materials[[#This Row],[3* Mats]],MonsterMaterials[1* (Asc)]))+(SUMIF(MonsterMaterials[Material Type],Monster_Materials[[#This Row],[3* Mats]],MonsterMaterials[1* (Tal)]))</f>
        <v>66</v>
      </c>
      <c r="M13" s="183" t="e" vm="272">
        <f>IFERROR(INDEX(MonsterMaterialsImg[3*Icon], MATCH(Monster_Materials[[#This Row],[HelperName3*]], MonsterMaterialsImg[3*Name], 0)), "")</f>
        <v>#VALUE!</v>
      </c>
      <c r="N13" s="36">
        <f>IFERROR(INDEX(MonsterMaterialsInv[3* Quantity], MATCH(Monster_Materials[[#This Row],[3* Mats2]], MonsterMaterialsInv[3* Icon], 0)), "")</f>
        <v>13</v>
      </c>
      <c r="O13" s="145" t="e" vm="755">
        <f>IFERROR(INDEX(MonsterMaterialsImg[2*Icon], MATCH(Monster_Materials[[#This Row],[HelperName2*]], MonsterMaterialsImg[2*Name], 0)), "")</f>
        <v>#VALUE!</v>
      </c>
      <c r="P13" s="36">
        <f>IFERROR(INDEX(MonsterMaterialsInv[2* Quantity], MATCH(Monster_Materials[[#This Row],[2* Mats2]], MonsterMaterialsInv[2* Icon], 0)), "")</f>
        <v>238</v>
      </c>
      <c r="Q13" s="145" t="e" vm="756">
        <f>IFERROR(INDEX(MonsterMaterialsImg[1*Icon], MATCH(Monster_Materials[[#This Row],[HelperName1*]], MonsterMaterialsImg[1*Name], 0)), "")</f>
        <v>#VALUE!</v>
      </c>
      <c r="R13" s="149">
        <f>IFERROR(INDEX(MonsterMaterialsInv[1* Quantity], MATCH(Monster_Materials[[#This Row],[1* Mats2]], MonsterMaterialsInv[1* Icon], 0)), "")</f>
        <v>1177</v>
      </c>
      <c r="S13" s="183" t="e" vm="272">
        <f>IFERROR(INDEX(MonsterMaterialsImg[3*Icon], MATCH(Monster_Materials[[#This Row],[HelperName3*]], MonsterMaterialsImg[3*Name], 0)), "")</f>
        <v>#VALUE!</v>
      </c>
      <c r="T13" s="36">
        <f>Monster_Materials[[#This Row],[Need1]]-Monster_Materials[[#This Row],[Acquired1]]</f>
        <v>173</v>
      </c>
      <c r="U13" s="145" t="e" vm="755">
        <f>IFERROR(INDEX(MonsterMaterialsImg[2*Icon], MATCH(Monster_Materials[[#This Row],[HelperName2*]], MonsterMaterialsImg[2*Name], 0)), "")</f>
        <v>#VALUE!</v>
      </c>
      <c r="V13" s="36">
        <f>Monster_Materials[[#This Row],[Need2]]-Monster_Materials[[#This Row],[Acquired2]]</f>
        <v>-46</v>
      </c>
      <c r="W13" s="145" t="e" vm="756">
        <f>IFERROR(INDEX(MonsterMaterialsImg[1*Icon], MATCH(Monster_Materials[[#This Row],[HelperName1*]], MonsterMaterialsImg[1*Name], 0)), "")</f>
        <v>#VALUE!</v>
      </c>
      <c r="X13" s="149">
        <f>Monster_Materials[[#This Row],[Need3]]-Monster_Materials[[#This Row],[Acquired3]]</f>
        <v>-1111</v>
      </c>
    </row>
    <row r="14" spans="1:24" ht="30" customHeight="1" x14ac:dyDescent="0.25">
      <c r="A14" s="144">
        <f>SUBTOTAL(3,$B$4:Monster_Materials[[#This Row],[Link to Interactive Map]])</f>
        <v>11</v>
      </c>
      <c r="B14" s="176" t="s">
        <v>44</v>
      </c>
      <c r="C14" s="36" t="s">
        <v>403</v>
      </c>
      <c r="D14" s="36" t="s">
        <v>397</v>
      </c>
      <c r="E14" s="36" t="s">
        <v>391</v>
      </c>
      <c r="F14" s="145">
        <v>3.01</v>
      </c>
      <c r="G14" s="183" t="e" vm="32">
        <f>IFERROR(INDEX(MonsterMaterialsImg[3*Icon], MATCH(Monster_Materials[[#This Row],[HelperName3*]], MonsterMaterialsImg[3*Name], 0)), "")</f>
        <v>#VALUE!</v>
      </c>
      <c r="H14" s="36">
        <f>(SUMIF(MonsterMaterials[Material Type],Monster_Materials[[#This Row],[3* Mats]],MonsterMaterials[3* (Asc)]))+(SUMIF(MonsterMaterials[Material Type],Monster_Materials[[#This Row],[3* Mats]],MonsterMaterials[3* (Tal)]))</f>
        <v>222</v>
      </c>
      <c r="I14" s="145" t="e" vm="758">
        <f>IFERROR(INDEX(MonsterMaterialsImg[2*Icon], MATCH(Monster_Materials[[#This Row],[HelperName2*]], MonsterMaterialsImg[2*Name], 0)), "")</f>
        <v>#VALUE!</v>
      </c>
      <c r="J14" s="36">
        <f>(SUMIF(MonsterMaterials[Material Type],Monster_Materials[[#This Row],[3* Mats]],MonsterMaterials[2* (Asc)]))+(SUMIF(MonsterMaterials[Material Type],Monster_Materials[[#This Row],[3* Mats]],MonsterMaterials[2* (Tal)]))</f>
        <v>210</v>
      </c>
      <c r="K14" s="145" t="e" vm="759">
        <f>IFERROR(INDEX(MonsterMaterialsImg[1*Icon], MATCH(Monster_Materials[[#This Row],[HelperName1*]], MonsterMaterialsImg[1*Name], 0)), "")</f>
        <v>#VALUE!</v>
      </c>
      <c r="L14" s="149">
        <f>(SUMIF(MonsterMaterials[Material Type],Monster_Materials[[#This Row],[3* Mats]],MonsterMaterials[1* (Asc)]))+(SUMIF(MonsterMaterials[Material Type],Monster_Materials[[#This Row],[3* Mats]],MonsterMaterials[1* (Tal)]))</f>
        <v>66</v>
      </c>
      <c r="M14" s="183" t="e" vm="32">
        <f>IFERROR(INDEX(MonsterMaterialsImg[3*Icon], MATCH(Monster_Materials[[#This Row],[HelperName3*]], MonsterMaterialsImg[3*Name], 0)), "")</f>
        <v>#VALUE!</v>
      </c>
      <c r="N14" s="36">
        <f>IFERROR(INDEX(MonsterMaterialsInv[3* Quantity], MATCH(Monster_Materials[[#This Row],[3* Mats2]], MonsterMaterialsInv[3* Icon], 0)), "")</f>
        <v>210</v>
      </c>
      <c r="O14" s="145" t="e" vm="758">
        <f>IFERROR(INDEX(MonsterMaterialsImg[2*Icon], MATCH(Monster_Materials[[#This Row],[HelperName2*]], MonsterMaterialsImg[2*Name], 0)), "")</f>
        <v>#VALUE!</v>
      </c>
      <c r="P14" s="36">
        <f>IFERROR(INDEX(MonsterMaterialsInv[2* Quantity], MATCH(Monster_Materials[[#This Row],[2* Mats2]], MonsterMaterialsInv[2* Icon], 0)), "")</f>
        <v>213</v>
      </c>
      <c r="Q14" s="145" t="e" vm="759">
        <f>IFERROR(INDEX(MonsterMaterialsImg[1*Icon], MATCH(Monster_Materials[[#This Row],[HelperName1*]], MonsterMaterialsImg[1*Name], 0)), "")</f>
        <v>#VALUE!</v>
      </c>
      <c r="R14" s="149">
        <f>IFERROR(INDEX(MonsterMaterialsInv[1* Quantity], MATCH(Monster_Materials[[#This Row],[1* Mats2]], MonsterMaterialsInv[1* Icon], 0)), "")</f>
        <v>959</v>
      </c>
      <c r="S14" s="183" t="e" vm="32">
        <f>IFERROR(INDEX(MonsterMaterialsImg[3*Icon], MATCH(Monster_Materials[[#This Row],[HelperName3*]], MonsterMaterialsImg[3*Name], 0)), "")</f>
        <v>#VALUE!</v>
      </c>
      <c r="T14" s="36">
        <f>Monster_Materials[[#This Row],[Need1]]-Monster_Materials[[#This Row],[Acquired1]]</f>
        <v>12</v>
      </c>
      <c r="U14" s="145" t="e" vm="758">
        <f>IFERROR(INDEX(MonsterMaterialsImg[2*Icon], MATCH(Monster_Materials[[#This Row],[HelperName2*]], MonsterMaterialsImg[2*Name], 0)), "")</f>
        <v>#VALUE!</v>
      </c>
      <c r="V14" s="36">
        <f>Monster_Materials[[#This Row],[Need2]]-Monster_Materials[[#This Row],[Acquired2]]</f>
        <v>-3</v>
      </c>
      <c r="W14" s="145" t="e" vm="759">
        <f>IFERROR(INDEX(MonsterMaterialsImg[1*Icon], MATCH(Monster_Materials[[#This Row],[HelperName1*]], MonsterMaterialsImg[1*Name], 0)), "")</f>
        <v>#VALUE!</v>
      </c>
      <c r="X14" s="149">
        <f>Monster_Materials[[#This Row],[Need3]]-Monster_Materials[[#This Row],[Acquired3]]</f>
        <v>-893</v>
      </c>
    </row>
    <row r="15" spans="1:24" ht="30" customHeight="1" x14ac:dyDescent="0.25">
      <c r="A15" s="144">
        <f>SUBTOTAL(3,$B$4:Monster_Materials[[#This Row],[Link to Interactive Map]])</f>
        <v>12</v>
      </c>
      <c r="B15" s="176" t="s">
        <v>409</v>
      </c>
      <c r="C15" s="36" t="s">
        <v>422</v>
      </c>
      <c r="D15" s="36" t="s">
        <v>416</v>
      </c>
      <c r="E15" s="36" t="s">
        <v>410</v>
      </c>
      <c r="F15" s="145">
        <v>4</v>
      </c>
      <c r="G15" s="183" t="e" vm="95">
        <f>IFERROR(INDEX(MonsterMaterialsImg[3*Icon], MATCH(Monster_Materials[[#This Row],[HelperName3*]], MonsterMaterialsImg[3*Name], 0)), "")</f>
        <v>#VALUE!</v>
      </c>
      <c r="H15" s="36">
        <f>(SUMIF(MonsterMaterials[Material Type],Monster_Materials[[#This Row],[3* Mats]],MonsterMaterials[3* (Asc)]))+(SUMIF(MonsterMaterials[Material Type],Monster_Materials[[#This Row],[3* Mats]],MonsterMaterials[3* (Tal)]))</f>
        <v>112</v>
      </c>
      <c r="I15" s="145" t="e" vm="762">
        <f>IFERROR(INDEX(MonsterMaterialsImg[2*Icon], MATCH(Monster_Materials[[#This Row],[HelperName2*]], MonsterMaterialsImg[2*Name], 0)), "")</f>
        <v>#VALUE!</v>
      </c>
      <c r="J15" s="36">
        <f>(SUMIF(MonsterMaterials[Material Type],Monster_Materials[[#This Row],[3* Mats]],MonsterMaterials[2* (Asc)]))+(SUMIF(MonsterMaterials[Material Type],Monster_Materials[[#This Row],[3* Mats]],MonsterMaterials[2* (Tal)]))</f>
        <v>118</v>
      </c>
      <c r="K15" s="145" t="e" vm="763">
        <f>IFERROR(INDEX(MonsterMaterialsImg[1*Icon], MATCH(Monster_Materials[[#This Row],[HelperName1*]], MonsterMaterialsImg[1*Name], 0)), "")</f>
        <v>#VALUE!</v>
      </c>
      <c r="L15" s="149">
        <f>(SUMIF(MonsterMaterials[Material Type],Monster_Materials[[#This Row],[3* Mats]],MonsterMaterials[1* (Asc)]))+(SUMIF(MonsterMaterials[Material Type],Monster_Materials[[#This Row],[3* Mats]],MonsterMaterials[1* (Tal)]))</f>
        <v>39</v>
      </c>
      <c r="M15" s="183" t="e" vm="95">
        <f>IFERROR(INDEX(MonsterMaterialsImg[3*Icon], MATCH(Monster_Materials[[#This Row],[HelperName3*]], MonsterMaterialsImg[3*Name], 0)), "")</f>
        <v>#VALUE!</v>
      </c>
      <c r="N15" s="36">
        <f>IFERROR(INDEX(MonsterMaterialsInv[3* Quantity], MATCH(Monster_Materials[[#This Row],[3* Mats2]], MonsterMaterialsInv[3* Icon], 0)), "")</f>
        <v>39</v>
      </c>
      <c r="O15" s="145" t="e" vm="762">
        <f>IFERROR(INDEX(MonsterMaterialsImg[2*Icon], MATCH(Monster_Materials[[#This Row],[HelperName2*]], MonsterMaterialsImg[2*Name], 0)), "")</f>
        <v>#VALUE!</v>
      </c>
      <c r="P15" s="36">
        <f>IFERROR(INDEX(MonsterMaterialsInv[2* Quantity], MATCH(Monster_Materials[[#This Row],[2* Mats2]], MonsterMaterialsInv[2* Icon], 0)), "")</f>
        <v>93</v>
      </c>
      <c r="Q15" s="145" t="e" vm="763">
        <f>IFERROR(INDEX(MonsterMaterialsImg[1*Icon], MATCH(Monster_Materials[[#This Row],[HelperName1*]], MonsterMaterialsImg[1*Name], 0)), "")</f>
        <v>#VALUE!</v>
      </c>
      <c r="R15" s="149">
        <f>IFERROR(INDEX(MonsterMaterialsInv[1* Quantity], MATCH(Monster_Materials[[#This Row],[1* Mats2]], MonsterMaterialsInv[1* Icon], 0)), "")</f>
        <v>466</v>
      </c>
      <c r="S15" s="183" t="e" vm="95">
        <f>IFERROR(INDEX(MonsterMaterialsImg[3*Icon], MATCH(Monster_Materials[[#This Row],[HelperName3*]], MonsterMaterialsImg[3*Name], 0)), "")</f>
        <v>#VALUE!</v>
      </c>
      <c r="T15" s="36">
        <f>Monster_Materials[[#This Row],[Need1]]-Monster_Materials[[#This Row],[Acquired1]]</f>
        <v>73</v>
      </c>
      <c r="U15" s="145" t="e" vm="762">
        <f>IFERROR(INDEX(MonsterMaterialsImg[2*Icon], MATCH(Monster_Materials[[#This Row],[HelperName2*]], MonsterMaterialsImg[2*Name], 0)), "")</f>
        <v>#VALUE!</v>
      </c>
      <c r="V15" s="36">
        <f>Monster_Materials[[#This Row],[Need2]]-Monster_Materials[[#This Row],[Acquired2]]</f>
        <v>25</v>
      </c>
      <c r="W15" s="145" t="e" vm="763">
        <f>IFERROR(INDEX(MonsterMaterialsImg[1*Icon], MATCH(Monster_Materials[[#This Row],[HelperName1*]], MonsterMaterialsImg[1*Name], 0)), "")</f>
        <v>#VALUE!</v>
      </c>
      <c r="X15" s="149">
        <f>Monster_Materials[[#This Row],[Need3]]-Monster_Materials[[#This Row],[Acquired3]]</f>
        <v>-427</v>
      </c>
    </row>
    <row r="16" spans="1:24" ht="30" customHeight="1" thickBot="1" x14ac:dyDescent="0.3">
      <c r="A16" s="144">
        <f>SUBTOTAL(3,$B$4:Monster_Materials[[#This Row],[Link to Interactive Map]])</f>
        <v>13</v>
      </c>
      <c r="B16" s="176" t="s">
        <v>427</v>
      </c>
      <c r="C16" s="36" t="s">
        <v>440</v>
      </c>
      <c r="D16" s="36" t="s">
        <v>434</v>
      </c>
      <c r="E16" s="36" t="s">
        <v>428</v>
      </c>
      <c r="F16" s="145">
        <v>4.01</v>
      </c>
      <c r="G16" s="183" t="e" vm="261">
        <f>IFERROR(INDEX(MonsterMaterialsImg[3*Icon], MATCH(Monster_Materials[[#This Row],[HelperName3*]], MonsterMaterialsImg[3*Name], 0)), "")</f>
        <v>#VALUE!</v>
      </c>
      <c r="H16" s="36">
        <f>(SUMIF(MonsterMaterials[Material Type],Monster_Materials[[#This Row],[3* Mats]],MonsterMaterials[3* (Asc)]))+(SUMIF(MonsterMaterials[Material Type],Monster_Materials[[#This Row],[3* Mats]],MonsterMaterials[3* (Tal)]))</f>
        <v>108</v>
      </c>
      <c r="I16" s="145" t="e" vm="766">
        <f>IFERROR(INDEX(MonsterMaterialsImg[2*Icon], MATCH(Monster_Materials[[#This Row],[HelperName2*]], MonsterMaterialsImg[2*Name], 0)), "")</f>
        <v>#VALUE!</v>
      </c>
      <c r="J16" s="36">
        <f>(SUMIF(MonsterMaterials[Material Type],Monster_Materials[[#This Row],[3* Mats]],MonsterMaterials[2* (Asc)]))+(SUMIF(MonsterMaterials[Material Type],Monster_Materials[[#This Row],[3* Mats]],MonsterMaterials[2* (Tal)]))</f>
        <v>74</v>
      </c>
      <c r="K16" s="145" t="e" vm="767">
        <f>IFERROR(INDEX(MonsterMaterialsImg[1*Icon], MATCH(Monster_Materials[[#This Row],[HelperName1*]], MonsterMaterialsImg[1*Name], 0)), "")</f>
        <v>#VALUE!</v>
      </c>
      <c r="L16" s="149">
        <f>(SUMIF(MonsterMaterials[Material Type],Monster_Materials[[#This Row],[3* Mats]],MonsterMaterials[1* (Asc)]))+(SUMIF(MonsterMaterials[Material Type],Monster_Materials[[#This Row],[3* Mats]],MonsterMaterials[1* (Tal)]))</f>
        <v>27</v>
      </c>
      <c r="M16" s="183" t="e" vm="261">
        <f>IFERROR(INDEX(MonsterMaterialsImg[3*Icon], MATCH(Monster_Materials[[#This Row],[HelperName3*]], MonsterMaterialsImg[3*Name], 0)), "")</f>
        <v>#VALUE!</v>
      </c>
      <c r="N16" s="36">
        <f>IFERROR(INDEX(MonsterMaterialsInv[3* Quantity], MATCH(Monster_Materials[[#This Row],[3* Mats2]], MonsterMaterialsInv[3* Icon], 0)), "")</f>
        <v>136</v>
      </c>
      <c r="O16" s="145" t="e" vm="766">
        <f>IFERROR(INDEX(MonsterMaterialsImg[2*Icon], MATCH(Monster_Materials[[#This Row],[HelperName2*]], MonsterMaterialsImg[2*Name], 0)), "")</f>
        <v>#VALUE!</v>
      </c>
      <c r="P16" s="36">
        <f>IFERROR(INDEX(MonsterMaterialsInv[2* Quantity], MATCH(Monster_Materials[[#This Row],[2* Mats2]], MonsterMaterialsInv[2* Icon], 0)), "")</f>
        <v>238</v>
      </c>
      <c r="Q16" s="145" t="e" vm="767">
        <f>IFERROR(INDEX(MonsterMaterialsImg[1*Icon], MATCH(Monster_Materials[[#This Row],[HelperName1*]], MonsterMaterialsImg[1*Name], 0)), "")</f>
        <v>#VALUE!</v>
      </c>
      <c r="R16" s="149">
        <f>IFERROR(INDEX(MonsterMaterialsInv[1* Quantity], MATCH(Monster_Materials[[#This Row],[1* Mats2]], MonsterMaterialsInv[1* Icon], 0)), "")</f>
        <v>601</v>
      </c>
      <c r="S16" s="183" t="e" vm="261">
        <f>IFERROR(INDEX(MonsterMaterialsImg[3*Icon], MATCH(Monster_Materials[[#This Row],[HelperName3*]], MonsterMaterialsImg[3*Name], 0)), "")</f>
        <v>#VALUE!</v>
      </c>
      <c r="T16" s="36">
        <f>Monster_Materials[[#This Row],[Need1]]-Monster_Materials[[#This Row],[Acquired1]]</f>
        <v>-28</v>
      </c>
      <c r="U16" s="145" t="e" vm="766">
        <f>IFERROR(INDEX(MonsterMaterialsImg[2*Icon], MATCH(Monster_Materials[[#This Row],[HelperName2*]], MonsterMaterialsImg[2*Name], 0)), "")</f>
        <v>#VALUE!</v>
      </c>
      <c r="V16" s="36">
        <f>Monster_Materials[[#This Row],[Need2]]-Monster_Materials[[#This Row],[Acquired2]]</f>
        <v>-164</v>
      </c>
      <c r="W16" s="145" t="e" vm="767">
        <f>IFERROR(INDEX(MonsterMaterialsImg[1*Icon], MATCH(Monster_Materials[[#This Row],[HelperName1*]], MonsterMaterialsImg[1*Name], 0)), "")</f>
        <v>#VALUE!</v>
      </c>
      <c r="X16" s="149">
        <f>Monster_Materials[[#This Row],[Need3]]-Monster_Materials[[#This Row],[Acquired3]]</f>
        <v>-574</v>
      </c>
    </row>
    <row r="17" spans="1:24" ht="30" customHeight="1" thickBot="1" x14ac:dyDescent="0.3">
      <c r="A17" s="153" t="s">
        <v>706</v>
      </c>
      <c r="B17" s="154"/>
      <c r="C17" s="154"/>
      <c r="D17" s="154"/>
      <c r="E17" s="154"/>
      <c r="F17" s="155"/>
      <c r="G17" s="153"/>
      <c r="H17" s="154">
        <f>SUMIF(Monster_Materials[Need1],"&gt;=0")</f>
        <v>2918</v>
      </c>
      <c r="I17" s="154"/>
      <c r="J17" s="154">
        <f>SUMIF(Monster_Materials[Need2],"&gt;=0")</f>
        <v>2478</v>
      </c>
      <c r="K17" s="154"/>
      <c r="L17" s="155">
        <f>SUMIF(Monster_Materials[Need3],"&gt;=0")</f>
        <v>750</v>
      </c>
      <c r="M17" s="153"/>
      <c r="N17" s="154">
        <f>SUMIF(Monster_Materials[Acquired1],"&gt;=0")</f>
        <v>1156</v>
      </c>
      <c r="O17" s="154"/>
      <c r="P17" s="154">
        <f>SUMIF(Monster_Materials[Acquired2],"&gt;=0")</f>
        <v>2388</v>
      </c>
      <c r="Q17" s="154"/>
      <c r="R17" s="155">
        <f>SUMIF(Monster_Materials[Acquired3],"&gt;=0")</f>
        <v>14469</v>
      </c>
      <c r="S17" s="153"/>
      <c r="T17" s="154">
        <f>SUMIF(Monster_Materials[Remaining1],"&gt;=0")</f>
        <v>1823</v>
      </c>
      <c r="U17" s="154"/>
      <c r="V17" s="154">
        <f>SUMIF(Monster_Materials[Remaining2],"&gt;=0")</f>
        <v>520</v>
      </c>
      <c r="W17" s="154"/>
      <c r="X17" s="155">
        <f>SUMIF(Monster_Materials[Remaining3],"&gt;=0")</f>
        <v>36</v>
      </c>
    </row>
    <row r="18" spans="1:24" ht="30" customHeight="1" x14ac:dyDescent="0.25"/>
    <row r="19" spans="1:24" ht="30" customHeight="1" x14ac:dyDescent="0.25"/>
    <row r="20" spans="1:24" ht="30" customHeight="1" x14ac:dyDescent="0.25"/>
    <row r="21" spans="1:24" ht="30" customHeight="1" x14ac:dyDescent="0.25"/>
    <row r="22" spans="1:24" ht="30" customHeight="1" x14ac:dyDescent="0.25"/>
    <row r="23" spans="1:24" ht="30" customHeight="1" x14ac:dyDescent="0.25"/>
    <row r="24" spans="1:24" ht="30" customHeight="1" x14ac:dyDescent="0.25"/>
    <row r="25" spans="1:24" ht="30" customHeight="1" x14ac:dyDescent="0.25"/>
    <row r="26" spans="1:24" ht="30" customHeight="1" x14ac:dyDescent="0.25"/>
    <row r="27" spans="1:24" ht="30" customHeight="1" x14ac:dyDescent="0.25"/>
    <row r="28" spans="1:24" ht="30" customHeight="1" x14ac:dyDescent="0.25"/>
    <row r="29" spans="1:24" ht="30" customHeight="1" x14ac:dyDescent="0.25"/>
    <row r="30" spans="1:24" ht="30" customHeight="1" x14ac:dyDescent="0.25"/>
    <row r="31" spans="1:24" ht="30" customHeight="1" x14ac:dyDescent="0.25"/>
    <row r="32" spans="1:24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</sheetData>
  <mergeCells count="4">
    <mergeCell ref="A1:X1"/>
    <mergeCell ref="G2:L2"/>
    <mergeCell ref="M2:R2"/>
    <mergeCell ref="S2:X2"/>
  </mergeCells>
  <phoneticPr fontId="3" type="noConversion"/>
  <hyperlinks>
    <hyperlink ref="B4" r:id="rId1" location="/map/2?center=1537.77,-3496.18&amp;zoom=-3.00&amp;shown_types=55" xr:uid="{BA9F970C-08AE-4699-9873-7BCE1CD7079D}"/>
    <hyperlink ref="B5" r:id="rId2" location="/map/2?center=1418.03,-3432.07&amp;zoom=-3.00&amp;shown_types=56" xr:uid="{92175A30-6968-46A6-A94A-B36829B1F636}"/>
    <hyperlink ref="B6" r:id="rId3" location="/map/2?center=1418.03,-3432.07&amp;zoom=-3.00&amp;shown_types=57" xr:uid="{F569CC8C-EEF2-47DF-AE30-AF1FEC478262}"/>
    <hyperlink ref="B7" r:id="rId4" location="/map/2?center=1418.03,-3432.07&amp;zoom=-3.00&amp;shown_types=59" xr:uid="{1BB2850E-9A96-4487-8EC4-78E113E14460}"/>
    <hyperlink ref="B8" r:id="rId5" location="/map/2?center=1418.03,-3432.07&amp;zoom=-3.00&amp;shown_types=58" xr:uid="{5940C17A-D608-4D33-8786-19F27B493DD2}"/>
    <hyperlink ref="B9" r:id="rId6" location="/map/2?center=1418.03,-3432.07&amp;zoom=-3.00&amp;shown_types=54" xr:uid="{B64EEDA0-EE4A-4E92-B313-C382DD4C3898}"/>
    <hyperlink ref="B10" r:id="rId7" location="/map/2?center=1418.03,-3432.07&amp;zoom=-3.00&amp;shown_types=47" xr:uid="{6C35C2AA-0B55-431B-BFBF-912B8234E69A}"/>
    <hyperlink ref="B11" r:id="rId8" location="/map/2?center=5645.95,1894.00&amp;zoom=-2.00&amp;shown_types=209" xr:uid="{59711692-D316-4D49-BAE5-FCB0013DAA53}"/>
    <hyperlink ref="B12" r:id="rId9" location="/map/2?center=7418.19,1342.03&amp;zoom=-2.00&amp;shown_types=229" xr:uid="{5889ACAE-406A-4244-8632-67B9740C054C}"/>
    <hyperlink ref="B13" r:id="rId10" location="/map/2?center=3288.46,-5818.37&amp;zoom=-2.00&amp;shown_types=221" xr:uid="{242446A1-8821-49B1-BA70-BE4DAFAC77CD}"/>
    <hyperlink ref="B14" r:id="rId11" location="/map/2?center=3284.46,-5874.37&amp;zoom=-2.00&amp;shown_types=389" xr:uid="{181FA1BC-1EC3-44BE-A440-C65EA4BB6772}"/>
    <hyperlink ref="B15" r:id="rId12" location="/map/2?center=-861.27,-5506.35&amp;zoom=-2.00&amp;shown_types=493" xr:uid="{5C584D84-0434-4709-8551-C19CCEAE3B23}"/>
    <hyperlink ref="B16" r:id="rId13" location="/map/2?center=-861.27,-5506.35&amp;zoom=-2.00&amp;shown_types=494" xr:uid="{E92781D2-618B-46B1-96D7-D9D170E6B6C9}"/>
  </hyperlinks>
  <pageMargins left="0.7" right="0.7" top="0.75" bottom="0.75" header="0.3" footer="0.3"/>
  <drawing r:id="rId14"/>
  <tableParts count="1">
    <tablePart r:id="rId1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3A983E-B9F0-43A0-A80D-3E1D6C94FF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</vt:i4>
      </vt:variant>
    </vt:vector>
  </HeadingPairs>
  <TitlesOfParts>
    <vt:vector size="24" baseType="lpstr">
      <vt:lpstr>Add New</vt:lpstr>
      <vt:lpstr>LevelDatabase</vt:lpstr>
      <vt:lpstr>ImgDatabase</vt:lpstr>
      <vt:lpstr>Inventory</vt:lpstr>
      <vt:lpstr>Summary</vt:lpstr>
      <vt:lpstr>World Boss</vt:lpstr>
      <vt:lpstr>Talent Books</vt:lpstr>
      <vt:lpstr>Weekly Boss</vt:lpstr>
      <vt:lpstr>Local Specialties</vt:lpstr>
      <vt:lpstr>Ascension Stones</vt:lpstr>
      <vt:lpstr>Monster Materials</vt:lpstr>
      <vt:lpstr>'Ascension Stones'!Extract</vt:lpstr>
      <vt:lpstr>'Local Specialties'!Extract</vt:lpstr>
      <vt:lpstr>'Monster Materials'!Extract</vt:lpstr>
      <vt:lpstr>Summary!Extract</vt:lpstr>
      <vt:lpstr>'Weekly Boss'!Extract</vt:lpstr>
      <vt:lpstr>'Ascension Stones'!HerosWits</vt:lpstr>
      <vt:lpstr>'Monster Materials'!HerosWits</vt:lpstr>
      <vt:lpstr>Summary!HerosWits</vt:lpstr>
      <vt:lpstr>HerosWits</vt:lpstr>
      <vt:lpstr>'Ascension Stones'!Levels</vt:lpstr>
      <vt:lpstr>'Monster Materials'!Levels</vt:lpstr>
      <vt:lpstr>Summary!Levels</vt:lpstr>
      <vt:lpstr>Levels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Cryp7iC</dc:creator>
  <cp:keywords/>
  <dc:description/>
  <cp:lastModifiedBy>Emon Hasan Nayeem</cp:lastModifiedBy>
  <cp:revision/>
  <dcterms:created xsi:type="dcterms:W3CDTF">2023-12-16T11:28:58Z</dcterms:created>
  <dcterms:modified xsi:type="dcterms:W3CDTF">2024-06-20T22:49:30Z</dcterms:modified>
  <cp:category/>
  <cp:contentStatus/>
</cp:coreProperties>
</file>